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268" windowHeight="4200" tabRatio="602" activeTab="0"/>
  </bookViews>
  <sheets>
    <sheet name="Budget" sheetId="1" r:id="rId1"/>
    <sheet name="Budget Graphs" sheetId="2" r:id="rId2"/>
    <sheet name="Reserve Fund Calculator" sheetId="3" r:id="rId3"/>
    <sheet name="Rate Calculator" sheetId="4" r:id="rId4"/>
  </sheets>
  <externalReferences>
    <externalReference r:id="rId7"/>
    <externalReference r:id="rId8"/>
    <externalReference r:id="rId9"/>
    <externalReference r:id="rId10"/>
  </externalReferences>
  <definedNames>
    <definedName name="BUDGET" localSheetId="0">'Budget'!$A$1:$G$82</definedName>
    <definedName name="BUDGET" localSheetId="2">#REF!</definedName>
    <definedName name="BUDGET">#REF!</definedName>
    <definedName name="BUD-TO-ACT" localSheetId="0">'Budget'!#REF!</definedName>
    <definedName name="BUD-TO-ACT" localSheetId="3">'[2]Budget'!#REF!</definedName>
    <definedName name="BUD-TO-ACT" localSheetId="2">#REF!</definedName>
    <definedName name="BUD-TO-ACT">#REF!</definedName>
    <definedName name="_xlnm.Print_Area" localSheetId="0">'Budget'!$A$1:$O$52</definedName>
    <definedName name="RATES" localSheetId="0">'Budget'!#REF!</definedName>
    <definedName name="RATES" localSheetId="3">'[2]Budget'!#REF!</definedName>
    <definedName name="RATES" localSheetId="2">#REF!</definedName>
    <definedName name="RATES">#REF!</definedName>
    <definedName name="RATES-2" localSheetId="0">'Budget'!#REF!</definedName>
    <definedName name="RATES-2" localSheetId="3">'[2]Budget'!#REF!</definedName>
    <definedName name="RATES-2" localSheetId="2">#REF!</definedName>
    <definedName name="RATES-2">#REF!</definedName>
  </definedNames>
  <calcPr fullCalcOnLoad="1"/>
</workbook>
</file>

<file path=xl/sharedStrings.xml><?xml version="1.0" encoding="utf-8"?>
<sst xmlns="http://schemas.openxmlformats.org/spreadsheetml/2006/main" count="245" uniqueCount="214">
  <si>
    <t>Adj. Monthly Payment</t>
  </si>
  <si>
    <t>Revenues from Previous Payments</t>
  </si>
  <si>
    <t>Item</t>
  </si>
  <si>
    <t>Years to Replace</t>
  </si>
  <si>
    <t>Inflation</t>
  </si>
  <si>
    <t>Future Value</t>
  </si>
  <si>
    <t xml:space="preserve">Account Interest Rate </t>
  </si>
  <si>
    <t>Total Water Used</t>
  </si>
  <si>
    <t>Customers</t>
  </si>
  <si>
    <t xml:space="preserve">Water Use </t>
  </si>
  <si>
    <t>ERU</t>
  </si>
  <si>
    <t>Use</t>
  </si>
  <si>
    <t>Adj for Empty Lots</t>
  </si>
  <si>
    <t>2x Use</t>
  </si>
  <si>
    <t>Connections</t>
  </si>
  <si>
    <t>Water sold</t>
  </si>
  <si>
    <t>Cost of Water Ft</t>
  </si>
  <si>
    <t>ERU/EDU Cubic Feet</t>
  </si>
  <si>
    <t>Cost of Water Gals</t>
  </si>
  <si>
    <t>Individual Bill Calculator</t>
  </si>
  <si>
    <t>Cost for 2x Use Ft</t>
  </si>
  <si>
    <t xml:space="preserve">Free </t>
  </si>
  <si>
    <t>Declining Rate</t>
  </si>
  <si>
    <t>Cost for 2x Use Gals</t>
  </si>
  <si>
    <t>2x Avg Use Cost %</t>
  </si>
  <si>
    <t>Free Water</t>
  </si>
  <si>
    <t>Rev Loss</t>
  </si>
  <si>
    <t>Empty lot adj</t>
  </si>
  <si>
    <t>Service Charges</t>
  </si>
  <si>
    <t>Res Cust?</t>
  </si>
  <si>
    <t>use</t>
  </si>
  <si>
    <t>Adj Service Chgs</t>
  </si>
  <si>
    <t>Tiers</t>
  </si>
  <si>
    <t>aj</t>
  </si>
  <si>
    <t>ak</t>
  </si>
  <si>
    <t>al</t>
  </si>
  <si>
    <t>am</t>
  </si>
  <si>
    <t>Bill</t>
  </si>
  <si>
    <t>Adj. Service Charges</t>
  </si>
  <si>
    <t>sum</t>
  </si>
  <si>
    <t>no "x"</t>
  </si>
  <si>
    <t>BUDGET CATEGORY</t>
  </si>
  <si>
    <t>Last     Year</t>
  </si>
  <si>
    <t>This     Year</t>
  </si>
  <si>
    <t>Fixed %</t>
  </si>
  <si>
    <t>Annual Inflation</t>
  </si>
  <si>
    <t>Annual Sub-Total</t>
  </si>
  <si>
    <t>REVENUES NEEDED</t>
  </si>
  <si>
    <t xml:space="preserve">                                            (This Year) Number of Tests and Cost</t>
  </si>
  <si>
    <t>Allocated Funds from Reserve Fund Worksheet</t>
  </si>
  <si>
    <t>TOTAL ANNUAL EXPENSES</t>
  </si>
  <si>
    <t>Total Cash Reserves</t>
  </si>
  <si>
    <t>Expenditures from Reserve Fund Calculator</t>
  </si>
  <si>
    <t>Transfer from Reserves</t>
  </si>
  <si>
    <t>Reserve Fund Expenditures</t>
  </si>
  <si>
    <t xml:space="preserve">Replacement Cost </t>
  </si>
  <si>
    <t>Calculator:</t>
  </si>
  <si>
    <t xml:space="preserve">                 NON-OPERATING REVENUES</t>
  </si>
  <si>
    <t xml:space="preserve">             </t>
  </si>
  <si>
    <t>Wastewater?</t>
  </si>
  <si>
    <t>Avg Bill</t>
  </si>
  <si>
    <t>Surcharge</t>
  </si>
  <si>
    <t>Commodity Rev</t>
  </si>
  <si>
    <t>Cond. Format</t>
  </si>
  <si>
    <t>Metered water</t>
  </si>
  <si>
    <t>2d Tier Use</t>
  </si>
  <si>
    <t>1st Tier Use</t>
  </si>
  <si>
    <t>3 Tier Use</t>
  </si>
  <si>
    <t>Adj Future Value</t>
  </si>
  <si>
    <t>Line 30</t>
  </si>
  <si>
    <t>Line 29</t>
  </si>
  <si>
    <t>Line 28</t>
  </si>
  <si>
    <t>Line 27</t>
  </si>
  <si>
    <t>Line 26</t>
  </si>
  <si>
    <t>Line 25</t>
  </si>
  <si>
    <t>Line 24</t>
  </si>
  <si>
    <t>Line 23</t>
  </si>
  <si>
    <t>Line 22</t>
  </si>
  <si>
    <t>line 21</t>
  </si>
  <si>
    <t>Line 20</t>
  </si>
  <si>
    <t>Line 19</t>
  </si>
  <si>
    <t>Line  18</t>
  </si>
  <si>
    <t>Line 17</t>
  </si>
  <si>
    <t>Line 16</t>
  </si>
  <si>
    <t>Line 15</t>
  </si>
  <si>
    <t>Line 14</t>
  </si>
  <si>
    <t>Line 13</t>
  </si>
  <si>
    <t xml:space="preserve">     Connections / ERUs:</t>
  </si>
  <si>
    <t>Min rate</t>
  </si>
  <si>
    <t>Nitrate</t>
  </si>
  <si>
    <t>HAA5</t>
  </si>
  <si>
    <t>THM</t>
  </si>
  <si>
    <t xml:space="preserve">                  This section shows amount actually spent from above reserve accounts</t>
  </si>
  <si>
    <t>Fixed Cost</t>
  </si>
  <si>
    <t>Variable Cost</t>
  </si>
  <si>
    <t>MaxYear</t>
  </si>
  <si>
    <t>Future Cost</t>
  </si>
  <si>
    <t>Missing Information!</t>
  </si>
  <si>
    <t>Yr. of 1st Decrease:</t>
  </si>
  <si>
    <t>2d rate</t>
  </si>
  <si>
    <r>
      <t xml:space="preserve"> INSTRUCTIONS:</t>
    </r>
    <r>
      <rPr>
        <sz val="10"/>
        <rFont val="Arial"/>
        <family val="2"/>
      </rPr>
      <t xml:space="preserve"> List items</t>
    </r>
    <r>
      <rPr>
        <b/>
        <sz val="10"/>
        <rFont val="Arial"/>
        <family val="2"/>
      </rPr>
      <t xml:space="preserve"> </t>
    </r>
    <r>
      <rPr>
        <b/>
        <i/>
        <u val="single"/>
        <sz val="10"/>
        <color indexed="10"/>
        <rFont val="Arial"/>
        <family val="2"/>
      </rPr>
      <t>in descending order of "Years to Replace</t>
    </r>
    <r>
      <rPr>
        <b/>
        <i/>
        <sz val="10"/>
        <color indexed="10"/>
        <rFont val="Arial"/>
        <family val="2"/>
      </rPr>
      <t>"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(Longest replacement time first)</t>
    </r>
    <r>
      <rPr>
        <sz val="10"/>
        <rFont val="Arial"/>
        <family val="2"/>
      </rPr>
      <t>.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Enter replacement costs (usually what it would cost "today"), annual inflation percentage, and interest rate of reserve savings account.    </t>
    </r>
    <r>
      <rPr>
        <b/>
        <sz val="10"/>
        <color indexed="10"/>
        <rFont val="Arial"/>
        <family val="2"/>
      </rPr>
      <t>Note: Do not "drag" or "cut" entries in cells!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</t>
    </r>
  </si>
  <si>
    <t>Monthly payment per each above to reserves:</t>
  </si>
  <si>
    <t>Total annual payment to reserve funds:</t>
  </si>
  <si>
    <t>Calculation start date :</t>
  </si>
  <si>
    <t>BX identifies if a reduction is possible based upon no entries above that calculation entry; BV looks at payments above the last reduction that would pay everything; BU takes out the error indication in column BX. "O" identifies the year of reduction. R2-BT2 shows the amount of reduction of each possible. The section under PQR ID's the max (1st) reduction and (min) last.</t>
  </si>
  <si>
    <t>Sum to right</t>
  </si>
  <si>
    <t>Show if payments above entry = 0</t>
  </si>
  <si>
    <t>Pay in full to line 12</t>
  </si>
  <si>
    <t>Narrows reduction</t>
  </si>
  <si>
    <t>Rdxtion Year</t>
  </si>
  <si>
    <t>VOC (9 years)</t>
  </si>
  <si>
    <t>SOC (9 years)</t>
  </si>
  <si>
    <t>IOC (3 years)</t>
  </si>
  <si>
    <t>Lead / Copper (3 years)</t>
  </si>
  <si>
    <t>Inflation Annual Increase</t>
  </si>
  <si>
    <t xml:space="preserve"> WAGES / SALARIES / BENEFITS</t>
  </si>
  <si>
    <t>OFFICE and GENERAL OPERATIONS</t>
  </si>
  <si>
    <t>DEBT PAYMENTS</t>
  </si>
  <si>
    <t>WATER QUALITY MONITORING</t>
  </si>
  <si>
    <t>OPERATION &amp; MAINTENANCE</t>
  </si>
  <si>
    <t>UTILITY COSTS</t>
  </si>
  <si>
    <t>RESERVE FUND CASH ACCOUNTS</t>
  </si>
  <si>
    <t>Wages</t>
  </si>
  <si>
    <t>Office</t>
  </si>
  <si>
    <t>Debt/Taxes</t>
  </si>
  <si>
    <t>Testing</t>
  </si>
  <si>
    <t>O&amp;M</t>
  </si>
  <si>
    <t>Utilities</t>
  </si>
  <si>
    <t xml:space="preserve">Budget </t>
  </si>
  <si>
    <t>Reserves</t>
  </si>
  <si>
    <t>Total Reserves:</t>
  </si>
  <si>
    <t>Total Inflation Cost:</t>
  </si>
  <si>
    <t>Total Budget:</t>
  </si>
  <si>
    <t>Revenues Needed from Rates:</t>
  </si>
  <si>
    <t xml:space="preserve"> </t>
  </si>
  <si>
    <t>New to Reserves</t>
  </si>
  <si>
    <t>Billing Period</t>
  </si>
  <si>
    <t>SERVICE CHARGE / BASE RATE</t>
  </si>
  <si>
    <t xml:space="preserve">                    SUB TOTAL OF ABOVE ANNUAL EXPENSES</t>
  </si>
  <si>
    <r>
      <t>** Optional Information Below</t>
    </r>
    <r>
      <rPr>
        <b/>
        <sz val="11"/>
        <color indexed="12"/>
        <rFont val="Arial"/>
        <family val="2"/>
      </rPr>
      <t xml:space="preserve"> </t>
    </r>
    <r>
      <rPr>
        <b/>
        <sz val="11"/>
        <color indexed="48"/>
        <rFont val="Arial"/>
        <family val="2"/>
      </rPr>
      <t xml:space="preserve">                            </t>
    </r>
    <r>
      <rPr>
        <b/>
        <sz val="11"/>
        <rFont val="Arial"/>
        <family val="2"/>
      </rPr>
      <t>RATE INFORMATION</t>
    </r>
  </si>
  <si>
    <t>Remved avg month bill</t>
  </si>
  <si>
    <t>Est.total annual cost ( for Ft³)</t>
  </si>
  <si>
    <t>2xCost</t>
  </si>
  <si>
    <t>ERU RU</t>
  </si>
  <si>
    <t>Bill Calculation</t>
  </si>
  <si>
    <t>Est. Total Annual cost (Gals)</t>
  </si>
  <si>
    <t>Total Water Testing</t>
  </si>
  <si>
    <t>Revenues Needed from Rate Calculator:</t>
  </si>
  <si>
    <t>Revenues from Rate Calculator:</t>
  </si>
  <si>
    <t>Non-Operating Revenues Sub-Total</t>
  </si>
  <si>
    <t>Adjustment for (-) Number</t>
  </si>
  <si>
    <t xml:space="preserve"> Use Adj.(-)</t>
  </si>
  <si>
    <t>New Connection Fees</t>
  </si>
  <si>
    <r>
      <t xml:space="preserve">Cubic Feet?   </t>
    </r>
    <r>
      <rPr>
        <b/>
        <sz val="11"/>
        <rFont val="Arial"/>
        <family val="2"/>
      </rPr>
      <t xml:space="preserve">                                    USE INFORMATION                    </t>
    </r>
    <r>
      <rPr>
        <b/>
        <sz val="11"/>
        <color indexed="18"/>
        <rFont val="Arial"/>
        <family val="2"/>
      </rPr>
      <t>Add Customers?</t>
    </r>
  </si>
  <si>
    <t>Total Comodity  Revenues</t>
  </si>
  <si>
    <t>Equipment Replacement</t>
  </si>
  <si>
    <t>Beginning balance, water fund</t>
  </si>
  <si>
    <t>Late Charges</t>
  </si>
  <si>
    <t>Interest from all accounts (including Reserves)</t>
  </si>
  <si>
    <t>Allocated in Reserves</t>
  </si>
  <si>
    <t>Total Inflation:</t>
  </si>
  <si>
    <t>RD Debt Service Reserve</t>
  </si>
  <si>
    <t xml:space="preserve">Electrical </t>
  </si>
  <si>
    <t>Taxes</t>
  </si>
  <si>
    <t>Max included water</t>
  </si>
  <si>
    <t>Max poss sold</t>
  </si>
  <si>
    <t>Max 1st Tier Water</t>
  </si>
  <si>
    <t>Max 1st tier sold</t>
  </si>
  <si>
    <t>Min poss sold</t>
  </si>
  <si>
    <t>Total inflation paid to end of this year:</t>
  </si>
  <si>
    <t xml:space="preserve">Operating Reserve </t>
  </si>
  <si>
    <t>Increase in Rates:</t>
  </si>
  <si>
    <t xml:space="preserve">Previous Year Cash Carryover   </t>
  </si>
  <si>
    <t>Rate Increases over minimum needed</t>
  </si>
  <si>
    <t>Rate Increase per Unit:</t>
  </si>
  <si>
    <t>Funds Needed or Overage:</t>
  </si>
  <si>
    <t>Emergency Reserve</t>
  </si>
  <si>
    <t>Available Revenues:</t>
  </si>
  <si>
    <t>Coliform (w/1 re-test req) Monthly</t>
  </si>
  <si>
    <t>xx/xx/xx</t>
  </si>
  <si>
    <r>
      <t xml:space="preserve">This section shows cash from sources other than rates: </t>
    </r>
    <r>
      <rPr>
        <b/>
        <i/>
        <sz val="11"/>
        <color indexed="10"/>
        <rFont val="Palatino"/>
        <family val="1"/>
      </rPr>
      <t>Any revenue deficit will be automatically subtracted from the amount seen in cell E66!</t>
    </r>
  </si>
  <si>
    <t>FROM RESERVES!   These are actual expenditures from reserve accounts.</t>
  </si>
  <si>
    <t xml:space="preserve">                                        Water / Wastewater Reserve Funds                </t>
  </si>
  <si>
    <t>Water / Wastewater Rates</t>
  </si>
  <si>
    <t>Water / Wastewater Budget - 2008</t>
  </si>
  <si>
    <t>Audit</t>
  </si>
  <si>
    <t>Postage</t>
  </si>
  <si>
    <t>Mailing</t>
  </si>
  <si>
    <t xml:space="preserve">Insurance  </t>
  </si>
  <si>
    <t>Misc / NSF</t>
  </si>
  <si>
    <t>Water Dues</t>
  </si>
  <si>
    <t>Advertising</t>
  </si>
  <si>
    <t>Travel</t>
  </si>
  <si>
    <t>Communication</t>
  </si>
  <si>
    <t>Loan</t>
  </si>
  <si>
    <t>Equipment Rental</t>
  </si>
  <si>
    <t>Maint/Repair Water Equipment</t>
  </si>
  <si>
    <t>Supplies</t>
  </si>
  <si>
    <t>Small equipment</t>
  </si>
  <si>
    <t>Phone Service</t>
  </si>
  <si>
    <t>Fuel</t>
  </si>
  <si>
    <t>Vehicle Maint</t>
  </si>
  <si>
    <t>New Projects</t>
  </si>
  <si>
    <t>v5.1</t>
  </si>
  <si>
    <t>J</t>
  </si>
  <si>
    <t>K</t>
  </si>
  <si>
    <t>p</t>
  </si>
  <si>
    <t>Next Number</t>
  </si>
  <si>
    <t>Operator Salaries</t>
  </si>
  <si>
    <t>Benefits</t>
  </si>
  <si>
    <t>Clerical Salaries</t>
  </si>
  <si>
    <t>Legal</t>
  </si>
  <si>
    <t>Accounting</t>
  </si>
  <si>
    <t>Engineering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</si>
</sst>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[$$-409]* #,##0.00_);_([$$-409]* \(#,##0.00\);_([$$-409]* &quot;-&quot;??_);_(@_)"/>
    <numFmt numFmtId="167" formatCode="[$$-409]#,##0.00_);\([$$-409]#,##0.00\)"/>
    <numFmt numFmtId="168" formatCode="#,##0.00;[Red]#,##0.00"/>
    <numFmt numFmtId="169" formatCode="[$-409]dddd\,\ mmmm\ dd\,\ yyyy"/>
    <numFmt numFmtId="170" formatCode="[$-409]mmm\-yy;@"/>
    <numFmt numFmtId="171" formatCode="[$-409]mmmmm\-yy;@"/>
    <numFmt numFmtId="172" formatCode="m/d/yyyy;@"/>
    <numFmt numFmtId="173" formatCode="[$-409]mmmm\-yy;@"/>
    <numFmt numFmtId="174" formatCode="[$-409]h:mm:ss\ AM/PM"/>
    <numFmt numFmtId="175" formatCode="0.00_);[Red]\(0.00\)"/>
    <numFmt numFmtId="176" formatCode="00000"/>
    <numFmt numFmtId="177" formatCode="0.0%"/>
    <numFmt numFmtId="178" formatCode="#,##0.0"/>
    <numFmt numFmtId="179" formatCode="&quot;$&quot;#,##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$&quot;#,##0;[Red]&quot;$&quot;#,##0"/>
    <numFmt numFmtId="186" formatCode="0.000"/>
    <numFmt numFmtId="187" formatCode="[$$-409]#,##0.00"/>
    <numFmt numFmtId="188" formatCode="[$$-409]#,##0"/>
    <numFmt numFmtId="189" formatCode="_([$$-409]* #,##0_);_([$$-409]* \(#,##0\);_([$$-409]* &quot;-&quot;_);_(@_)"/>
    <numFmt numFmtId="190" formatCode="&quot;$&quot;#,##0.0"/>
    <numFmt numFmtId="191" formatCode="&quot;$&quot;#,##0.0000"/>
    <numFmt numFmtId="192" formatCode="#,##0.000"/>
    <numFmt numFmtId="193" formatCode="[$-409]mmmm\ d\,\ yyyy;@"/>
    <numFmt numFmtId="194" formatCode="#,##0.0000"/>
    <numFmt numFmtId="195" formatCode="0.000%"/>
    <numFmt numFmtId="196" formatCode="#,##0.00000"/>
    <numFmt numFmtId="197" formatCode="&quot;$&quot;#,##0.00000000"/>
    <numFmt numFmtId="198" formatCode="[$$-409]#,##0.000000"/>
    <numFmt numFmtId="199" formatCode="&quot;$&quot;#,##0.00000"/>
  </numFmts>
  <fonts count="8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20"/>
      <name val="Arial"/>
      <family val="2"/>
    </font>
    <font>
      <sz val="9"/>
      <name val="Arial"/>
      <family val="0"/>
    </font>
    <font>
      <sz val="10"/>
      <color indexed="8"/>
      <name val="Arial"/>
      <family val="0"/>
    </font>
    <font>
      <b/>
      <i/>
      <u val="single"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9"/>
      <color indexed="47"/>
      <name val="Arial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sz val="10"/>
      <color indexed="47"/>
      <name val="Arial"/>
      <family val="0"/>
    </font>
    <font>
      <b/>
      <sz val="8"/>
      <color indexed="18"/>
      <name val="Arial"/>
      <family val="2"/>
    </font>
    <font>
      <b/>
      <sz val="8"/>
      <color indexed="56"/>
      <name val="Arial"/>
      <family val="2"/>
    </font>
    <font>
      <b/>
      <sz val="9"/>
      <color indexed="18"/>
      <name val="Arial"/>
      <family val="2"/>
    </font>
    <font>
      <b/>
      <sz val="8"/>
      <color indexed="17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36"/>
      <name val="Arial"/>
      <family val="2"/>
    </font>
    <font>
      <sz val="9"/>
      <color indexed="18"/>
      <name val="Arial"/>
      <family val="2"/>
    </font>
    <font>
      <b/>
      <sz val="8"/>
      <color indexed="12"/>
      <name val="Arial"/>
      <family val="2"/>
    </font>
    <font>
      <sz val="8"/>
      <name val="Tahoma"/>
      <family val="2"/>
    </font>
    <font>
      <sz val="10"/>
      <name val="Palatino"/>
      <family val="1"/>
    </font>
    <font>
      <b/>
      <i/>
      <sz val="11"/>
      <name val="Palatino"/>
      <family val="1"/>
    </font>
    <font>
      <sz val="24"/>
      <name val="SWISS"/>
      <family val="0"/>
    </font>
    <font>
      <sz val="12"/>
      <name val="Palatino"/>
      <family val="0"/>
    </font>
    <font>
      <b/>
      <sz val="9"/>
      <name val="Palatino"/>
      <family val="1"/>
    </font>
    <font>
      <b/>
      <sz val="12"/>
      <name val="Palatino"/>
      <family val="1"/>
    </font>
    <font>
      <b/>
      <sz val="10"/>
      <name val="Palatino"/>
      <family val="1"/>
    </font>
    <font>
      <b/>
      <sz val="8"/>
      <name val="Palatino"/>
      <family val="1"/>
    </font>
    <font>
      <u val="single"/>
      <sz val="12"/>
      <name val="Palatino"/>
      <family val="0"/>
    </font>
    <font>
      <b/>
      <sz val="12"/>
      <name val="SWISS"/>
      <family val="0"/>
    </font>
    <font>
      <b/>
      <sz val="11"/>
      <name val="Palatino"/>
      <family val="1"/>
    </font>
    <font>
      <b/>
      <sz val="14"/>
      <name val="Palatino"/>
      <family val="1"/>
    </font>
    <font>
      <b/>
      <sz val="12"/>
      <color indexed="10"/>
      <name val="Palatino"/>
      <family val="1"/>
    </font>
    <font>
      <sz val="10"/>
      <name val="MV Boli"/>
      <family val="0"/>
    </font>
    <font>
      <sz val="12"/>
      <name val="MV Boli"/>
      <family val="0"/>
    </font>
    <font>
      <b/>
      <sz val="12"/>
      <name val="MV Boli"/>
      <family val="0"/>
    </font>
    <font>
      <sz val="10"/>
      <color indexed="10"/>
      <name val="Arial"/>
      <family val="0"/>
    </font>
    <font>
      <b/>
      <sz val="11"/>
      <color indexed="10"/>
      <name val="Palatino"/>
      <family val="1"/>
    </font>
    <font>
      <b/>
      <i/>
      <sz val="9"/>
      <color indexed="10"/>
      <name val="Arial"/>
      <family val="2"/>
    </font>
    <font>
      <b/>
      <sz val="14"/>
      <name val="Arial"/>
      <family val="2"/>
    </font>
    <font>
      <b/>
      <i/>
      <sz val="11"/>
      <color indexed="10"/>
      <name val="Palatino"/>
      <family val="1"/>
    </font>
    <font>
      <b/>
      <i/>
      <sz val="14"/>
      <name val="Palatino"/>
      <family val="1"/>
    </font>
    <font>
      <b/>
      <i/>
      <sz val="11"/>
      <color indexed="10"/>
      <name val="Arial"/>
      <family val="2"/>
    </font>
    <font>
      <sz val="12"/>
      <name val="Times New Roman"/>
      <family val="1"/>
    </font>
    <font>
      <b/>
      <i/>
      <sz val="16"/>
      <name val="Palatino"/>
      <family val="1"/>
    </font>
    <font>
      <b/>
      <sz val="10"/>
      <color indexed="53"/>
      <name val="Arial"/>
      <family val="2"/>
    </font>
    <font>
      <b/>
      <sz val="10"/>
      <color indexed="61"/>
      <name val="Arial"/>
      <family val="2"/>
    </font>
    <font>
      <b/>
      <sz val="10"/>
      <color indexed="40"/>
      <name val="Arial"/>
      <family val="2"/>
    </font>
    <font>
      <b/>
      <sz val="10"/>
      <color indexed="11"/>
      <name val="Arial"/>
      <family val="0"/>
    </font>
    <font>
      <sz val="10"/>
      <color indexed="11"/>
      <name val="Arial"/>
      <family val="0"/>
    </font>
    <font>
      <b/>
      <i/>
      <sz val="12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16.25"/>
      <name val="Arial"/>
      <family val="2"/>
    </font>
    <font>
      <sz val="15.5"/>
      <name val="Arial"/>
      <family val="2"/>
    </font>
    <font>
      <sz val="11.75"/>
      <name val="Arial"/>
      <family val="2"/>
    </font>
    <font>
      <b/>
      <sz val="9.25"/>
      <name val="Arial"/>
      <family val="2"/>
    </font>
    <font>
      <b/>
      <u val="single"/>
      <sz val="12"/>
      <color indexed="10"/>
      <name val="Arial"/>
      <family val="2"/>
    </font>
    <font>
      <u val="single"/>
      <sz val="12"/>
      <color indexed="10"/>
      <name val="Arial"/>
      <family val="2"/>
    </font>
    <font>
      <u val="single"/>
      <sz val="10"/>
      <color indexed="10"/>
      <name val="Arial"/>
      <family val="2"/>
    </font>
    <font>
      <sz val="11.5"/>
      <name val="Arial"/>
      <family val="2"/>
    </font>
    <font>
      <b/>
      <sz val="9.75"/>
      <name val="Arial"/>
      <family val="2"/>
    </font>
    <font>
      <b/>
      <sz val="13.5"/>
      <name val="Arial"/>
      <family val="2"/>
    </font>
    <font>
      <u val="singleAccounting"/>
      <sz val="12"/>
      <color indexed="10"/>
      <name val="Arial"/>
      <family val="2"/>
    </font>
    <font>
      <b/>
      <sz val="10.75"/>
      <name val="Arial"/>
      <family val="2"/>
    </font>
    <font>
      <b/>
      <sz val="11"/>
      <color indexed="48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darkUp"/>
    </fill>
    <fill>
      <patternFill patternType="solid">
        <fgColor indexed="5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7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ck"/>
      <right style="thick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double"/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>
        <color indexed="63"/>
      </top>
      <bottom style="thick">
        <color indexed="60"/>
      </bottom>
    </border>
    <border>
      <left>
        <color indexed="63"/>
      </left>
      <right>
        <color indexed="63"/>
      </right>
      <top>
        <color indexed="63"/>
      </top>
      <bottom style="thick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ck">
        <color indexed="60"/>
      </bottom>
    </border>
    <border>
      <left style="thin">
        <color indexed="60"/>
      </left>
      <right>
        <color indexed="63"/>
      </right>
      <top style="thick">
        <color indexed="60"/>
      </top>
      <bottom style="thick">
        <color indexed="60"/>
      </bottom>
    </border>
    <border>
      <left>
        <color indexed="63"/>
      </left>
      <right>
        <color indexed="63"/>
      </right>
      <top style="thick">
        <color indexed="60"/>
      </top>
      <bottom style="thick">
        <color indexed="60"/>
      </bottom>
    </border>
    <border>
      <left style="thin"/>
      <right style="thin"/>
      <top>
        <color indexed="63"/>
      </top>
      <bottom style="thin"/>
    </border>
    <border>
      <left style="thick">
        <color indexed="53"/>
      </left>
      <right style="medium">
        <color indexed="53"/>
      </right>
      <top style="thick">
        <color indexed="53"/>
      </top>
      <bottom style="medium">
        <color indexed="5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ck">
        <color indexed="37"/>
      </bottom>
    </border>
    <border>
      <left style="double"/>
      <right style="thin"/>
      <top style="thick">
        <color indexed="37"/>
      </top>
      <bottom style="thick">
        <color indexed="37"/>
      </bottom>
    </border>
    <border>
      <left style="thin"/>
      <right style="double"/>
      <top style="thick">
        <color indexed="37"/>
      </top>
      <bottom style="thick">
        <color indexed="37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ck">
        <color indexed="60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double"/>
      <bottom style="thick">
        <color indexed="37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/>
      <right>
        <color indexed="63"/>
      </right>
      <top style="double">
        <color indexed="8"/>
      </top>
      <bottom style="double">
        <color indexed="8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 style="double"/>
      <bottom style="thin">
        <color indexed="8"/>
      </bottom>
    </border>
    <border>
      <left style="thick">
        <color indexed="10"/>
      </left>
      <right style="thin"/>
      <top style="thick">
        <color indexed="10"/>
      </top>
      <bottom style="thick">
        <color indexed="10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medium">
        <color indexed="8"/>
      </bottom>
    </border>
    <border>
      <left style="thin">
        <color indexed="8"/>
      </left>
      <right style="double"/>
      <top style="medium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 style="double">
        <color indexed="8"/>
      </bottom>
    </border>
    <border>
      <left style="thin">
        <color indexed="8"/>
      </left>
      <right style="double"/>
      <top style="double">
        <color indexed="8"/>
      </top>
      <bottom style="thin">
        <color indexed="8"/>
      </bottom>
    </border>
    <border>
      <left style="thick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53"/>
      </left>
      <right style="thick">
        <color indexed="53"/>
      </right>
      <top style="medium">
        <color indexed="53"/>
      </top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double"/>
      <top style="double">
        <color indexed="8"/>
      </top>
      <bottom>
        <color indexed="63"/>
      </bottom>
    </border>
    <border>
      <left style="thick">
        <color indexed="10"/>
      </left>
      <right style="double"/>
      <top style="thick">
        <color indexed="10"/>
      </top>
      <bottom style="thick">
        <color indexed="10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double">
        <color indexed="8"/>
      </right>
      <top>
        <color indexed="63"/>
      </top>
      <bottom style="thick">
        <color indexed="60"/>
      </bottom>
    </border>
    <border>
      <left>
        <color indexed="63"/>
      </left>
      <right style="double">
        <color indexed="8"/>
      </right>
      <top style="thick">
        <color indexed="60"/>
      </top>
      <bottom style="thick">
        <color indexed="60"/>
      </bottom>
    </border>
    <border>
      <left style="thin"/>
      <right style="double">
        <color indexed="8"/>
      </right>
      <top style="thick">
        <color indexed="60"/>
      </top>
      <bottom style="thin"/>
    </border>
    <border>
      <left style="thin"/>
      <right style="double">
        <color indexed="8"/>
      </right>
      <top style="thin"/>
      <bottom style="thin"/>
    </border>
    <border>
      <left style="thin"/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double"/>
      <bottom style="double"/>
    </border>
    <border>
      <left style="thin"/>
      <right style="double">
        <color indexed="8"/>
      </right>
      <top>
        <color indexed="63"/>
      </top>
      <bottom style="thin"/>
    </border>
    <border>
      <left style="thin"/>
      <right style="double">
        <color indexed="8"/>
      </right>
      <top style="double"/>
      <bottom style="double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ck">
        <color indexed="53"/>
      </bottom>
    </border>
    <border>
      <left style="thick">
        <color indexed="53"/>
      </left>
      <right style="double">
        <color indexed="8"/>
      </right>
      <top style="thick">
        <color indexed="53"/>
      </top>
      <bottom style="medium">
        <color indexed="53"/>
      </bottom>
    </border>
    <border>
      <left style="thick">
        <color indexed="53"/>
      </left>
      <right style="double">
        <color indexed="8"/>
      </right>
      <top style="medium">
        <color indexed="53"/>
      </top>
      <bottom style="medium">
        <color indexed="53"/>
      </bottom>
    </border>
    <border>
      <left style="medium">
        <color indexed="53"/>
      </left>
      <right style="double">
        <color indexed="8"/>
      </right>
      <top style="medium">
        <color indexed="5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>
        <color indexed="53"/>
      </right>
      <top style="thin"/>
      <bottom style="thin"/>
    </border>
    <border>
      <left style="thick">
        <color indexed="5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thick">
        <color indexed="60"/>
      </top>
      <bottom style="thick">
        <color indexed="60"/>
      </bottom>
    </border>
    <border>
      <left>
        <color indexed="63"/>
      </left>
      <right style="thin">
        <color indexed="60"/>
      </right>
      <top style="thick">
        <color indexed="60"/>
      </top>
      <bottom style="thick">
        <color indexed="60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ck">
        <color indexed="60"/>
      </top>
      <bottom>
        <color indexed="63"/>
      </bottom>
    </border>
    <border>
      <left>
        <color indexed="63"/>
      </left>
      <right>
        <color indexed="63"/>
      </right>
      <top style="thick">
        <color indexed="60"/>
      </top>
      <bottom>
        <color indexed="63"/>
      </bottom>
    </border>
    <border>
      <left>
        <color indexed="63"/>
      </left>
      <right style="thin"/>
      <top style="thick">
        <color indexed="60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 style="thick">
        <color indexed="37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37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37"/>
      </bottom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double"/>
      <right>
        <color indexed="63"/>
      </right>
      <top style="double">
        <color indexed="8"/>
      </top>
      <bottom style="thick">
        <color indexed="60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60"/>
      </bottom>
    </border>
    <border>
      <left>
        <color indexed="63"/>
      </left>
      <right style="thin"/>
      <top style="double">
        <color indexed="8"/>
      </top>
      <bottom style="thick">
        <color indexed="60"/>
      </bottom>
    </border>
    <border>
      <left style="double"/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 style="thick">
        <color indexed="37"/>
      </right>
      <top style="thick">
        <color indexed="37"/>
      </top>
      <bottom style="thick">
        <color indexed="37"/>
      </bottom>
    </border>
    <border>
      <left style="double"/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ck">
        <color indexed="10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double"/>
      <bottom style="double"/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ck">
        <color indexed="53"/>
      </right>
      <top style="double"/>
      <bottom style="double"/>
    </border>
    <border>
      <left style="thick">
        <color indexed="5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ck">
        <color indexed="53"/>
      </left>
      <right>
        <color indexed="63"/>
      </right>
      <top style="thick">
        <color indexed="53"/>
      </top>
      <bottom style="double"/>
    </border>
    <border>
      <left>
        <color indexed="63"/>
      </left>
      <right style="thick">
        <color indexed="53"/>
      </right>
      <top style="thick">
        <color indexed="53"/>
      </top>
      <bottom style="double"/>
    </border>
    <border>
      <left style="thick">
        <color indexed="5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ck">
        <color indexed="60"/>
      </top>
      <bottom style="thin"/>
    </border>
    <border>
      <left>
        <color indexed="63"/>
      </left>
      <right>
        <color indexed="63"/>
      </right>
      <top style="thick">
        <color indexed="60"/>
      </top>
      <bottom style="thin"/>
    </border>
    <border>
      <left>
        <color indexed="63"/>
      </left>
      <right style="thin"/>
      <top style="thick">
        <color indexed="60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ck">
        <color indexed="53"/>
      </right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ck">
        <color indexed="37"/>
      </top>
      <bottom style="thin"/>
    </border>
    <border>
      <left>
        <color indexed="63"/>
      </left>
      <right style="double"/>
      <top style="thick">
        <color indexed="37"/>
      </top>
      <bottom style="thin"/>
    </border>
    <border>
      <left style="double"/>
      <right>
        <color indexed="63"/>
      </right>
      <top style="thick">
        <color indexed="37"/>
      </top>
      <bottom style="thin"/>
    </border>
    <border>
      <left>
        <color indexed="63"/>
      </left>
      <right>
        <color indexed="63"/>
      </right>
      <top style="thick">
        <color indexed="37"/>
      </top>
      <bottom style="thin"/>
    </border>
    <border>
      <left>
        <color indexed="63"/>
      </left>
      <right style="thin"/>
      <top style="thick">
        <color indexed="37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ck">
        <color indexed="37"/>
      </bottom>
    </border>
    <border>
      <left>
        <color indexed="63"/>
      </left>
      <right>
        <color indexed="63"/>
      </right>
      <top style="thin"/>
      <bottom style="thick">
        <color indexed="37"/>
      </bottom>
    </border>
    <border>
      <left>
        <color indexed="63"/>
      </left>
      <right style="thin"/>
      <top style="thin"/>
      <bottom style="thick">
        <color indexed="37"/>
      </bottom>
    </border>
    <border>
      <left>
        <color indexed="63"/>
      </left>
      <right>
        <color indexed="63"/>
      </right>
      <top style="double"/>
      <bottom style="thick">
        <color indexed="37"/>
      </bottom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>
        <color indexed="63"/>
      </left>
      <right style="double"/>
      <top style="thin"/>
      <bottom style="thick">
        <color indexed="10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ck">
        <color indexed="37"/>
      </bottom>
    </border>
    <border>
      <left>
        <color indexed="63"/>
      </left>
      <right style="double"/>
      <top style="thin"/>
      <bottom style="thick">
        <color indexed="37"/>
      </bottom>
    </border>
    <border>
      <left style="thick">
        <color indexed="10"/>
      </left>
      <right>
        <color indexed="63"/>
      </right>
      <top style="thick">
        <color indexed="10"/>
      </top>
      <bottom style="thin"/>
    </border>
    <border>
      <left>
        <color indexed="63"/>
      </left>
      <right style="double"/>
      <top style="thick">
        <color indexed="10"/>
      </top>
      <bottom style="thin"/>
    </border>
    <border>
      <left style="double"/>
      <right>
        <color indexed="63"/>
      </right>
      <top style="thin"/>
      <bottom style="thick">
        <color indexed="16"/>
      </bottom>
    </border>
    <border>
      <left>
        <color indexed="63"/>
      </left>
      <right>
        <color indexed="63"/>
      </right>
      <top style="thin"/>
      <bottom style="thick">
        <color indexed="16"/>
      </bottom>
    </border>
    <border>
      <left>
        <color indexed="63"/>
      </left>
      <right style="thin"/>
      <top style="thin"/>
      <bottom style="thick">
        <color indexed="16"/>
      </bottom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ck">
        <color indexed="16"/>
      </top>
      <bottom style="thin"/>
    </border>
    <border>
      <left>
        <color indexed="63"/>
      </left>
      <right>
        <color indexed="63"/>
      </right>
      <top style="thick">
        <color indexed="16"/>
      </top>
      <bottom style="thin"/>
    </border>
    <border>
      <left>
        <color indexed="63"/>
      </left>
      <right style="thin"/>
      <top style="thick">
        <color indexed="16"/>
      </top>
      <bottom style="thin"/>
    </border>
    <border>
      <left style="double"/>
      <right>
        <color indexed="63"/>
      </right>
      <top style="thick">
        <color indexed="37"/>
      </top>
      <bottom>
        <color indexed="63"/>
      </bottom>
    </border>
    <border>
      <left>
        <color indexed="63"/>
      </left>
      <right>
        <color indexed="63"/>
      </right>
      <top style="thick">
        <color indexed="37"/>
      </top>
      <bottom>
        <color indexed="63"/>
      </bottom>
    </border>
    <border>
      <left>
        <color indexed="63"/>
      </left>
      <right style="double"/>
      <top style="thick">
        <color indexed="37"/>
      </top>
      <bottom>
        <color indexed="63"/>
      </bottom>
    </border>
    <border>
      <left style="thin"/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 style="thin"/>
      <top style="thick">
        <color indexed="37"/>
      </top>
      <bottom style="thick">
        <color indexed="37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</cellStyleXfs>
  <cellXfs count="122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77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177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3" fontId="3" fillId="0" borderId="0" xfId="0" applyNumberFormat="1" applyFont="1" applyFill="1" applyBorder="1" applyAlignment="1" applyProtection="1">
      <alignment horizontal="center" wrapText="1"/>
      <protection hidden="1"/>
    </xf>
    <xf numFmtId="164" fontId="3" fillId="0" borderId="1" xfId="0" applyNumberFormat="1" applyFont="1" applyFill="1" applyBorder="1" applyAlignment="1" applyProtection="1">
      <alignment horizontal="center"/>
      <protection hidden="1"/>
    </xf>
    <xf numFmtId="164" fontId="3" fillId="0" borderId="0" xfId="0" applyNumberFormat="1" applyFont="1" applyFill="1" applyBorder="1" applyAlignment="1" applyProtection="1">
      <alignment horizontal="center"/>
      <protection hidden="1"/>
    </xf>
    <xf numFmtId="0" fontId="14" fillId="2" borderId="2" xfId="0" applyFont="1" applyFill="1" applyBorder="1" applyAlignment="1">
      <alignment horizontal="center"/>
    </xf>
    <xf numFmtId="164" fontId="3" fillId="0" borderId="3" xfId="0" applyNumberFormat="1" applyFont="1" applyFill="1" applyBorder="1" applyAlignment="1" applyProtection="1">
      <alignment horizontal="center"/>
      <protection hidden="1"/>
    </xf>
    <xf numFmtId="177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>
      <alignment horizontal="center"/>
    </xf>
    <xf numFmtId="18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0" fillId="0" borderId="0" xfId="17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9" fontId="0" fillId="0" borderId="4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177" fontId="0" fillId="0" borderId="4" xfId="0" applyNumberFormat="1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" fillId="0" borderId="5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177" fontId="12" fillId="0" borderId="0" xfId="0" applyNumberFormat="1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3" fontId="12" fillId="0" borderId="6" xfId="0" applyNumberFormat="1" applyFont="1" applyBorder="1" applyAlignment="1" applyProtection="1">
      <alignment horizontal="center" vertical="center"/>
      <protection hidden="1"/>
    </xf>
    <xf numFmtId="3" fontId="12" fillId="0" borderId="0" xfId="0" applyNumberFormat="1" applyFont="1" applyBorder="1" applyAlignment="1" applyProtection="1">
      <alignment horizontal="center" vertical="center"/>
      <protection hidden="1"/>
    </xf>
    <xf numFmtId="1" fontId="12" fillId="0" borderId="0" xfId="0" applyNumberFormat="1" applyFont="1" applyAlignment="1" applyProtection="1">
      <alignment/>
      <protection hidden="1"/>
    </xf>
    <xf numFmtId="3" fontId="12" fillId="0" borderId="0" xfId="0" applyNumberFormat="1" applyFont="1" applyAlignment="1" applyProtection="1">
      <alignment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3" fontId="21" fillId="0" borderId="0" xfId="0" applyNumberFormat="1" applyFont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/>
      <protection hidden="1"/>
    </xf>
    <xf numFmtId="165" fontId="24" fillId="0" borderId="0" xfId="0" applyNumberFormat="1" applyFont="1" applyFill="1" applyBorder="1" applyAlignment="1" applyProtection="1">
      <alignment/>
      <protection hidden="1"/>
    </xf>
    <xf numFmtId="165" fontId="24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  <protection/>
    </xf>
    <xf numFmtId="165" fontId="12" fillId="0" borderId="0" xfId="0" applyNumberFormat="1" applyFont="1" applyAlignment="1" applyProtection="1">
      <alignment/>
      <protection hidden="1"/>
    </xf>
    <xf numFmtId="4" fontId="24" fillId="0" borderId="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horizontal="left" vertical="center"/>
    </xf>
    <xf numFmtId="165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9" fontId="12" fillId="0" borderId="7" xfId="0" applyNumberFormat="1" applyFont="1" applyFill="1" applyBorder="1" applyAlignment="1" applyProtection="1">
      <alignment/>
      <protection hidden="1"/>
    </xf>
    <xf numFmtId="164" fontId="12" fillId="0" borderId="0" xfId="0" applyNumberFormat="1" applyFont="1" applyAlignment="1" applyProtection="1">
      <alignment/>
      <protection hidden="1"/>
    </xf>
    <xf numFmtId="3" fontId="22" fillId="0" borderId="0" xfId="0" applyNumberFormat="1" applyFont="1" applyFill="1" applyBorder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3" fontId="21" fillId="0" borderId="0" xfId="0" applyNumberFormat="1" applyFont="1" applyAlignment="1" applyProtection="1">
      <alignment/>
      <protection hidden="1"/>
    </xf>
    <xf numFmtId="3" fontId="21" fillId="0" borderId="0" xfId="0" applyNumberFormat="1" applyFont="1" applyAlignment="1" applyProtection="1">
      <alignment/>
      <protection hidden="1"/>
    </xf>
    <xf numFmtId="164" fontId="24" fillId="0" borderId="0" xfId="0" applyNumberFormat="1" applyFont="1" applyFill="1" applyBorder="1" applyAlignment="1" applyProtection="1">
      <alignment/>
      <protection hidden="1"/>
    </xf>
    <xf numFmtId="164" fontId="24" fillId="0" borderId="0" xfId="0" applyNumberFormat="1" applyFont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164" fontId="24" fillId="0" borderId="0" xfId="0" applyNumberFormat="1" applyFont="1" applyAlignment="1" applyProtection="1">
      <alignment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12" fillId="0" borderId="0" xfId="0" applyNumberFormat="1" applyFont="1" applyAlignment="1" applyProtection="1">
      <alignment/>
      <protection hidden="1"/>
    </xf>
    <xf numFmtId="164" fontId="24" fillId="0" borderId="0" xfId="0" applyNumberFormat="1" applyFont="1" applyFill="1" applyAlignment="1" applyProtection="1">
      <alignment/>
      <protection hidden="1"/>
    </xf>
    <xf numFmtId="165" fontId="31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/>
      <protection hidden="1"/>
    </xf>
    <xf numFmtId="164" fontId="24" fillId="0" borderId="0" xfId="0" applyNumberFormat="1" applyFont="1" applyBorder="1" applyAlignment="1" applyProtection="1">
      <alignment/>
      <protection hidden="1"/>
    </xf>
    <xf numFmtId="177" fontId="12" fillId="0" borderId="0" xfId="0" applyNumberFormat="1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3" fontId="3" fillId="0" borderId="0" xfId="0" applyNumberFormat="1" applyFont="1" applyFill="1" applyBorder="1" applyAlignment="1" applyProtection="1">
      <alignment horizontal="left" vertical="center"/>
      <protection/>
    </xf>
    <xf numFmtId="1" fontId="11" fillId="0" borderId="0" xfId="0" applyNumberFormat="1" applyFont="1" applyFill="1" applyAlignment="1" applyProtection="1">
      <alignment horizontal="center" vertical="center"/>
      <protection hidden="1"/>
    </xf>
    <xf numFmtId="165" fontId="12" fillId="0" borderId="8" xfId="0" applyNumberFormat="1" applyFont="1" applyBorder="1" applyAlignment="1" applyProtection="1">
      <alignment/>
      <protection hidden="1"/>
    </xf>
    <xf numFmtId="0" fontId="3" fillId="0" borderId="5" xfId="0" applyFont="1" applyBorder="1" applyAlignment="1" applyProtection="1">
      <alignment/>
      <protection hidden="1"/>
    </xf>
    <xf numFmtId="165" fontId="12" fillId="0" borderId="0" xfId="0" applyNumberFormat="1" applyFont="1" applyBorder="1" applyAlignment="1" applyProtection="1">
      <alignment/>
      <protection hidden="1"/>
    </xf>
    <xf numFmtId="165" fontId="12" fillId="0" borderId="0" xfId="0" applyNumberFormat="1" applyFont="1" applyBorder="1" applyAlignment="1" applyProtection="1">
      <alignment horizontal="center" vertical="center"/>
      <protection hidden="1"/>
    </xf>
    <xf numFmtId="165" fontId="12" fillId="0" borderId="9" xfId="0" applyNumberFormat="1" applyFont="1" applyBorder="1" applyAlignment="1" applyProtection="1">
      <alignment horizontal="center" vertical="center"/>
      <protection hidden="1"/>
    </xf>
    <xf numFmtId="165" fontId="24" fillId="0" borderId="0" xfId="0" applyNumberFormat="1" applyFont="1" applyBorder="1" applyAlignment="1" applyProtection="1">
      <alignment horizontal="center" vertical="center"/>
      <protection hidden="1"/>
    </xf>
    <xf numFmtId="165" fontId="24" fillId="0" borderId="5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9" xfId="0" applyFont="1" applyBorder="1" applyAlignment="1" applyProtection="1">
      <alignment/>
      <protection hidden="1"/>
    </xf>
    <xf numFmtId="0" fontId="12" fillId="0" borderId="5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164" fontId="12" fillId="0" borderId="0" xfId="0" applyNumberFormat="1" applyFont="1" applyBorder="1" applyAlignment="1" applyProtection="1">
      <alignment/>
      <protection hidden="1"/>
    </xf>
    <xf numFmtId="0" fontId="12" fillId="0" borderId="10" xfId="0" applyFont="1" applyBorder="1" applyAlignment="1" applyProtection="1">
      <alignment/>
      <protection hidden="1"/>
    </xf>
    <xf numFmtId="165" fontId="12" fillId="0" borderId="11" xfId="0" applyNumberFormat="1" applyFont="1" applyBorder="1" applyAlignment="1" applyProtection="1">
      <alignment/>
      <protection hidden="1"/>
    </xf>
    <xf numFmtId="0" fontId="12" fillId="0" borderId="11" xfId="0" applyFont="1" applyBorder="1" applyAlignment="1" applyProtection="1">
      <alignment/>
      <protection hidden="1"/>
    </xf>
    <xf numFmtId="0" fontId="12" fillId="0" borderId="12" xfId="0" applyFont="1" applyBorder="1" applyAlignment="1" applyProtection="1">
      <alignment/>
      <protection hidden="1"/>
    </xf>
    <xf numFmtId="0" fontId="33" fillId="0" borderId="0" xfId="0" applyFont="1" applyAlignment="1" applyProtection="1">
      <alignment horizontal="left" vertical="center" indent="5"/>
      <protection locked="0"/>
    </xf>
    <xf numFmtId="0" fontId="36" fillId="0" borderId="0" xfId="21" applyNumberFormat="1" applyFont="1" applyAlignment="1">
      <alignment/>
      <protection/>
    </xf>
    <xf numFmtId="164" fontId="39" fillId="0" borderId="13" xfId="0" applyNumberFormat="1" applyFont="1" applyBorder="1" applyAlignment="1">
      <alignment horizontal="center" vertical="center" wrapText="1"/>
    </xf>
    <xf numFmtId="0" fontId="39" fillId="0" borderId="13" xfId="0" applyNumberFormat="1" applyFont="1" applyBorder="1" applyAlignment="1">
      <alignment horizontal="center" vertical="center" wrapText="1"/>
    </xf>
    <xf numFmtId="0" fontId="38" fillId="0" borderId="13" xfId="0" applyNumberFormat="1" applyFont="1" applyBorder="1" applyAlignment="1" applyProtection="1">
      <alignment horizontal="center" vertical="center"/>
      <protection locked="0"/>
    </xf>
    <xf numFmtId="0" fontId="39" fillId="3" borderId="14" xfId="0" applyFont="1" applyFill="1" applyBorder="1" applyAlignment="1">
      <alignment horizontal="left" vertical="center" indent="7"/>
    </xf>
    <xf numFmtId="0" fontId="39" fillId="3" borderId="15" xfId="0" applyFont="1" applyFill="1" applyBorder="1" applyAlignment="1">
      <alignment horizontal="left" vertical="center" indent="7"/>
    </xf>
    <xf numFmtId="0" fontId="36" fillId="0" borderId="0" xfId="21" applyNumberFormat="1" applyFont="1" applyAlignment="1">
      <alignment/>
      <protection/>
    </xf>
    <xf numFmtId="0" fontId="36" fillId="0" borderId="0" xfId="21" applyNumberFormat="1" applyFont="1" applyFill="1" applyAlignment="1">
      <alignment/>
      <protection/>
    </xf>
    <xf numFmtId="0" fontId="36" fillId="0" borderId="0" xfId="21" applyNumberFormat="1" applyFont="1" applyFill="1" applyBorder="1" applyAlignment="1">
      <alignment/>
      <protection/>
    </xf>
    <xf numFmtId="0" fontId="47" fillId="0" borderId="0" xfId="0" applyNumberFormat="1" applyFont="1" applyAlignment="1">
      <alignment horizontal="center" vertical="center"/>
    </xf>
    <xf numFmtId="164" fontId="39" fillId="0" borderId="0" xfId="0" applyNumberFormat="1" applyFont="1" applyAlignment="1">
      <alignment horizontal="center" vertical="center"/>
    </xf>
    <xf numFmtId="164" fontId="47" fillId="0" borderId="0" xfId="0" applyNumberFormat="1" applyFont="1" applyAlignment="1">
      <alignment horizontal="center" vertical="center"/>
    </xf>
    <xf numFmtId="0" fontId="36" fillId="0" borderId="0" xfId="21" applyNumberFormat="1" applyFont="1" applyAlignment="1">
      <alignment horizontal="center" vertical="center"/>
      <protection/>
    </xf>
    <xf numFmtId="164" fontId="36" fillId="0" borderId="0" xfId="21" applyNumberFormat="1" applyFont="1" applyAlignment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 hidden="1"/>
    </xf>
    <xf numFmtId="177" fontId="12" fillId="0" borderId="0" xfId="0" applyNumberFormat="1" applyFont="1" applyAlignment="1" applyProtection="1">
      <alignment/>
      <protection hidden="1"/>
    </xf>
    <xf numFmtId="164" fontId="39" fillId="4" borderId="16" xfId="0" applyNumberFormat="1" applyFont="1" applyFill="1" applyBorder="1" applyAlignment="1" applyProtection="1">
      <alignment horizontal="center" vertical="center"/>
      <protection hidden="1"/>
    </xf>
    <xf numFmtId="164" fontId="39" fillId="4" borderId="17" xfId="0" applyNumberFormat="1" applyFont="1" applyFill="1" applyBorder="1" applyAlignment="1" applyProtection="1">
      <alignment horizontal="center" vertical="center"/>
      <protection hidden="1"/>
    </xf>
    <xf numFmtId="164" fontId="39" fillId="4" borderId="18" xfId="0" applyNumberFormat="1" applyFont="1" applyFill="1" applyBorder="1" applyAlignment="1" applyProtection="1">
      <alignment horizontal="center" vertical="center"/>
      <protection hidden="1"/>
    </xf>
    <xf numFmtId="164" fontId="39" fillId="4" borderId="19" xfId="0" applyNumberFormat="1" applyFont="1" applyFill="1" applyBorder="1" applyAlignment="1" applyProtection="1">
      <alignment horizontal="center" vertical="center"/>
      <protection hidden="1"/>
    </xf>
    <xf numFmtId="164" fontId="39" fillId="4" borderId="20" xfId="0" applyNumberFormat="1" applyFont="1" applyFill="1" applyBorder="1" applyAlignment="1" applyProtection="1">
      <alignment horizontal="center" vertical="center"/>
      <protection hidden="1"/>
    </xf>
    <xf numFmtId="164" fontId="39" fillId="4" borderId="21" xfId="0" applyNumberFormat="1" applyFont="1" applyFill="1" applyBorder="1" applyAlignment="1" applyProtection="1">
      <alignment horizontal="center" vertical="center"/>
      <protection hidden="1"/>
    </xf>
    <xf numFmtId="0" fontId="39" fillId="3" borderId="22" xfId="0" applyFont="1" applyFill="1" applyBorder="1" applyAlignment="1" applyProtection="1">
      <alignment horizontal="left" vertical="center" indent="7"/>
      <protection hidden="1"/>
    </xf>
    <xf numFmtId="177" fontId="39" fillId="3" borderId="22" xfId="0" applyNumberFormat="1" applyFont="1" applyFill="1" applyBorder="1" applyAlignment="1" applyProtection="1">
      <alignment horizontal="left" vertical="center" indent="7"/>
      <protection hidden="1"/>
    </xf>
    <xf numFmtId="164" fontId="39" fillId="4" borderId="23" xfId="0" applyNumberFormat="1" applyFont="1" applyFill="1" applyBorder="1" applyAlignment="1" applyProtection="1">
      <alignment horizontal="center" vertical="center"/>
      <protection hidden="1"/>
    </xf>
    <xf numFmtId="0" fontId="39" fillId="3" borderId="22" xfId="0" applyFont="1" applyFill="1" applyBorder="1" applyAlignment="1" applyProtection="1">
      <alignment horizontal="left" indent="7"/>
      <protection hidden="1"/>
    </xf>
    <xf numFmtId="177" fontId="39" fillId="3" borderId="22" xfId="0" applyNumberFormat="1" applyFont="1" applyFill="1" applyBorder="1" applyAlignment="1" applyProtection="1">
      <alignment horizontal="left" indent="7"/>
      <protection hidden="1"/>
    </xf>
    <xf numFmtId="164" fontId="43" fillId="4" borderId="24" xfId="0" applyNumberFormat="1" applyFont="1" applyFill="1" applyBorder="1" applyAlignment="1" applyProtection="1">
      <alignment horizontal="center" vertical="center"/>
      <protection hidden="1"/>
    </xf>
    <xf numFmtId="0" fontId="39" fillId="5" borderId="25" xfId="0" applyFont="1" applyFill="1" applyBorder="1" applyAlignment="1" applyProtection="1">
      <alignment horizontal="center" vertical="center"/>
      <protection hidden="1"/>
    </xf>
    <xf numFmtId="0" fontId="15" fillId="0" borderId="26" xfId="0" applyFont="1" applyBorder="1" applyAlignment="1" applyProtection="1">
      <alignment horizontal="center" vertical="center"/>
      <protection hidden="1"/>
    </xf>
    <xf numFmtId="0" fontId="27" fillId="0" borderId="26" xfId="0" applyFont="1" applyBorder="1" applyAlignment="1" applyProtection="1">
      <alignment horizontal="center" vertical="center"/>
      <protection hidden="1"/>
    </xf>
    <xf numFmtId="0" fontId="52" fillId="0" borderId="26" xfId="0" applyFont="1" applyBorder="1" applyAlignment="1" applyProtection="1">
      <alignment horizontal="center" vertical="center"/>
      <protection hidden="1"/>
    </xf>
    <xf numFmtId="0" fontId="27" fillId="0" borderId="27" xfId="0" applyFont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39" fillId="3" borderId="14" xfId="0" applyFont="1" applyFill="1" applyBorder="1" applyAlignment="1" applyProtection="1">
      <alignment/>
      <protection hidden="1"/>
    </xf>
    <xf numFmtId="6" fontId="39" fillId="4" borderId="29" xfId="0" applyNumberFormat="1" applyFont="1" applyFill="1" applyBorder="1" applyAlignment="1" applyProtection="1">
      <alignment horizontal="center" vertical="center"/>
      <protection hidden="1"/>
    </xf>
    <xf numFmtId="6" fontId="39" fillId="4" borderId="13" xfId="0" applyNumberFormat="1" applyFont="1" applyFill="1" applyBorder="1" applyAlignment="1" applyProtection="1">
      <alignment horizontal="center" vertical="center"/>
      <protection hidden="1"/>
    </xf>
    <xf numFmtId="6" fontId="39" fillId="4" borderId="30" xfId="0" applyNumberFormat="1" applyFont="1" applyFill="1" applyBorder="1" applyAlignment="1" applyProtection="1">
      <alignment horizontal="center" vertical="center"/>
      <protection hidden="1"/>
    </xf>
    <xf numFmtId="192" fontId="3" fillId="0" borderId="3" xfId="0" applyNumberFormat="1" applyFont="1" applyFill="1" applyBorder="1" applyAlignment="1" applyProtection="1">
      <alignment horizontal="center"/>
      <protection hidden="1"/>
    </xf>
    <xf numFmtId="164" fontId="3" fillId="0" borderId="31" xfId="0" applyNumberFormat="1" applyFont="1" applyFill="1" applyBorder="1" applyAlignment="1" applyProtection="1">
      <alignment horizontal="center"/>
      <protection hidden="1"/>
    </xf>
    <xf numFmtId="192" fontId="3" fillId="0" borderId="32" xfId="0" applyNumberFormat="1" applyFont="1" applyFill="1" applyBorder="1" applyAlignment="1" applyProtection="1">
      <alignment horizontal="center"/>
      <protection hidden="1"/>
    </xf>
    <xf numFmtId="164" fontId="3" fillId="0" borderId="33" xfId="0" applyNumberFormat="1" applyFont="1" applyFill="1" applyBorder="1" applyAlignment="1" applyProtection="1">
      <alignment horizontal="center"/>
      <protection hidden="1"/>
    </xf>
    <xf numFmtId="0" fontId="44" fillId="0" borderId="0" xfId="0" applyFont="1" applyAlignment="1" applyProtection="1">
      <alignment horizontal="left" vertical="center" indent="5"/>
      <protection locked="0"/>
    </xf>
    <xf numFmtId="164" fontId="39" fillId="4" borderId="34" xfId="0" applyNumberFormat="1" applyFont="1" applyFill="1" applyBorder="1" applyAlignment="1" applyProtection="1">
      <alignment horizontal="center" vertical="center"/>
      <protection hidden="1"/>
    </xf>
    <xf numFmtId="164" fontId="39" fillId="4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164" fontId="25" fillId="0" borderId="0" xfId="0" applyNumberFormat="1" applyFont="1" applyFill="1" applyBorder="1" applyAlignment="1" applyProtection="1">
      <alignment horizontal="center" vertical="center"/>
      <protection hidden="1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 locked="0"/>
    </xf>
    <xf numFmtId="9" fontId="3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4" fontId="0" fillId="0" borderId="0" xfId="0" applyNumberFormat="1" applyAlignment="1" applyProtection="1">
      <alignment/>
      <protection hidden="1" locked="0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0" fillId="0" borderId="0" xfId="0" applyAlignment="1" applyProtection="1">
      <alignment wrapText="1"/>
      <protection hidden="1"/>
    </xf>
    <xf numFmtId="0" fontId="15" fillId="6" borderId="35" xfId="0" applyFont="1" applyFill="1" applyBorder="1" applyAlignment="1" applyProtection="1">
      <alignment horizontal="left" vertical="center"/>
      <protection hidden="1" locked="0"/>
    </xf>
    <xf numFmtId="0" fontId="0" fillId="0" borderId="0" xfId="0" applyBorder="1" applyAlignment="1" applyProtection="1">
      <alignment/>
      <protection hidden="1"/>
    </xf>
    <xf numFmtId="0" fontId="16" fillId="3" borderId="36" xfId="0" applyFont="1" applyFill="1" applyBorder="1" applyAlignment="1" applyProtection="1">
      <alignment horizontal="left" vertical="center"/>
      <protection hidden="1" locked="0"/>
    </xf>
    <xf numFmtId="0" fontId="20" fillId="3" borderId="37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left" vertical="center"/>
      <protection hidden="1"/>
    </xf>
    <xf numFmtId="177" fontId="3" fillId="0" borderId="0" xfId="0" applyNumberFormat="1" applyFont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165" fontId="12" fillId="0" borderId="0" xfId="0" applyNumberFormat="1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 locked="0"/>
    </xf>
    <xf numFmtId="164" fontId="39" fillId="0" borderId="13" xfId="0" applyNumberFormat="1" applyFont="1" applyBorder="1" applyAlignment="1" applyProtection="1">
      <alignment horizontal="center" vertical="center" wrapText="1"/>
      <protection/>
    </xf>
    <xf numFmtId="164" fontId="39" fillId="0" borderId="13" xfId="0" applyNumberFormat="1" applyFont="1" applyBorder="1" applyAlignment="1" applyProtection="1">
      <alignment horizontal="center" vertical="center" wrapText="1"/>
      <protection/>
    </xf>
    <xf numFmtId="0" fontId="39" fillId="0" borderId="13" xfId="0" applyFont="1" applyBorder="1" applyAlignment="1" applyProtection="1">
      <alignment horizontal="center" vertical="center" wrapText="1"/>
      <protection/>
    </xf>
    <xf numFmtId="0" fontId="39" fillId="3" borderId="14" xfId="0" applyFont="1" applyFill="1" applyBorder="1" applyAlignment="1" applyProtection="1">
      <alignment horizontal="left" vertical="center" wrapText="1" indent="7"/>
      <protection/>
    </xf>
    <xf numFmtId="0" fontId="39" fillId="3" borderId="14" xfId="0" applyFont="1" applyFill="1" applyBorder="1" applyAlignment="1" applyProtection="1">
      <alignment horizontal="left" vertical="center" indent="7"/>
      <protection/>
    </xf>
    <xf numFmtId="164" fontId="39" fillId="7" borderId="38" xfId="0" applyNumberFormat="1" applyFont="1" applyFill="1" applyBorder="1" applyAlignment="1" applyProtection="1">
      <alignment horizontal="center" vertical="center"/>
      <protection locked="0"/>
    </xf>
    <xf numFmtId="164" fontId="39" fillId="2" borderId="16" xfId="0" applyNumberFormat="1" applyFont="1" applyFill="1" applyBorder="1" applyAlignment="1" applyProtection="1">
      <alignment horizontal="center" vertical="center"/>
      <protection locked="0"/>
    </xf>
    <xf numFmtId="9" fontId="39" fillId="2" borderId="16" xfId="0" applyNumberFormat="1" applyFont="1" applyFill="1" applyBorder="1" applyAlignment="1" applyProtection="1">
      <alignment horizontal="center" vertical="center"/>
      <protection locked="0"/>
    </xf>
    <xf numFmtId="164" fontId="39" fillId="4" borderId="21" xfId="0" applyNumberFormat="1" applyFont="1" applyFill="1" applyBorder="1" applyAlignment="1" applyProtection="1">
      <alignment horizontal="center" vertical="center"/>
      <protection/>
    </xf>
    <xf numFmtId="0" fontId="39" fillId="5" borderId="21" xfId="0" applyNumberFormat="1" applyFont="1" applyFill="1" applyBorder="1" applyAlignment="1" applyProtection="1">
      <alignment horizontal="center" vertical="center"/>
      <protection/>
    </xf>
    <xf numFmtId="0" fontId="39" fillId="3" borderId="22" xfId="0" applyFont="1" applyFill="1" applyBorder="1" applyAlignment="1" applyProtection="1">
      <alignment horizontal="left" vertical="center" indent="7"/>
      <protection/>
    </xf>
    <xf numFmtId="164" fontId="39" fillId="2" borderId="23" xfId="0" applyNumberFormat="1" applyFont="1" applyFill="1" applyBorder="1" applyAlignment="1" applyProtection="1">
      <alignment horizontal="center" vertical="center"/>
      <protection locked="0"/>
    </xf>
    <xf numFmtId="9" fontId="39" fillId="2" borderId="23" xfId="0" applyNumberFormat="1" applyFont="1" applyFill="1" applyBorder="1" applyAlignment="1" applyProtection="1">
      <alignment horizontal="center" vertical="center"/>
      <protection locked="0"/>
    </xf>
    <xf numFmtId="164" fontId="39" fillId="7" borderId="39" xfId="0" applyNumberFormat="1" applyFont="1" applyFill="1" applyBorder="1" applyAlignment="1" applyProtection="1">
      <alignment horizontal="center" vertical="center"/>
      <protection locked="0"/>
    </xf>
    <xf numFmtId="164" fontId="39" fillId="2" borderId="19" xfId="0" applyNumberFormat="1" applyFont="1" applyFill="1" applyBorder="1" applyAlignment="1" applyProtection="1">
      <alignment horizontal="center" vertical="center"/>
      <protection locked="0"/>
    </xf>
    <xf numFmtId="9" fontId="39" fillId="2" borderId="19" xfId="0" applyNumberFormat="1" applyFont="1" applyFill="1" applyBorder="1" applyAlignment="1" applyProtection="1">
      <alignment horizontal="center" vertical="center"/>
      <protection locked="0"/>
    </xf>
    <xf numFmtId="164" fontId="39" fillId="7" borderId="40" xfId="0" applyNumberFormat="1" applyFont="1" applyFill="1" applyBorder="1" applyAlignment="1" applyProtection="1">
      <alignment horizontal="center" vertical="center"/>
      <protection locked="0"/>
    </xf>
    <xf numFmtId="164" fontId="39" fillId="2" borderId="20" xfId="0" applyNumberFormat="1" applyFont="1" applyFill="1" applyBorder="1" applyAlignment="1" applyProtection="1">
      <alignment horizontal="center" vertical="center"/>
      <protection locked="0"/>
    </xf>
    <xf numFmtId="0" fontId="39" fillId="3" borderId="22" xfId="0" applyFont="1" applyFill="1" applyBorder="1" applyAlignment="1" applyProtection="1">
      <alignment horizontal="left" indent="7"/>
      <protection/>
    </xf>
    <xf numFmtId="9" fontId="39" fillId="2" borderId="20" xfId="0" applyNumberFormat="1" applyFont="1" applyFill="1" applyBorder="1" applyAlignment="1" applyProtection="1">
      <alignment horizontal="center" vertical="center"/>
      <protection locked="0"/>
    </xf>
    <xf numFmtId="164" fontId="39" fillId="7" borderId="41" xfId="0" applyNumberFormat="1" applyFont="1" applyFill="1" applyBorder="1" applyAlignment="1" applyProtection="1">
      <alignment horizontal="center" vertical="center"/>
      <protection locked="0"/>
    </xf>
    <xf numFmtId="164" fontId="39" fillId="4" borderId="41" xfId="0" applyNumberFormat="1" applyFont="1" applyFill="1" applyBorder="1" applyAlignment="1" applyProtection="1">
      <alignment horizontal="center" vertical="center"/>
      <protection/>
    </xf>
    <xf numFmtId="178" fontId="39" fillId="2" borderId="19" xfId="0" applyNumberFormat="1" applyFont="1" applyFill="1" applyBorder="1" applyAlignment="1" applyProtection="1">
      <alignment horizontal="center" vertical="center"/>
      <protection locked="0"/>
    </xf>
    <xf numFmtId="164" fontId="39" fillId="7" borderId="42" xfId="0" applyNumberFormat="1" applyFont="1" applyFill="1" applyBorder="1" applyAlignment="1" applyProtection="1">
      <alignment horizontal="center" vertical="center"/>
      <protection locked="0"/>
    </xf>
    <xf numFmtId="164" fontId="39" fillId="4" borderId="42" xfId="0" applyNumberFormat="1" applyFont="1" applyFill="1" applyBorder="1" applyAlignment="1" applyProtection="1">
      <alignment horizontal="center" vertical="center"/>
      <protection/>
    </xf>
    <xf numFmtId="164" fontId="39" fillId="7" borderId="43" xfId="0" applyNumberFormat="1" applyFont="1" applyFill="1" applyBorder="1" applyAlignment="1" applyProtection="1">
      <alignment horizontal="center" vertical="center"/>
      <protection locked="0"/>
    </xf>
    <xf numFmtId="164" fontId="39" fillId="7" borderId="44" xfId="0" applyNumberFormat="1" applyFont="1" applyFill="1" applyBorder="1" applyAlignment="1" applyProtection="1">
      <alignment horizontal="center" vertical="center"/>
      <protection locked="0"/>
    </xf>
    <xf numFmtId="164" fontId="39" fillId="2" borderId="34" xfId="0" applyNumberFormat="1" applyFont="1" applyFill="1" applyBorder="1" applyAlignment="1" applyProtection="1">
      <alignment horizontal="center" vertical="center"/>
      <protection locked="0"/>
    </xf>
    <xf numFmtId="164" fontId="39" fillId="4" borderId="45" xfId="0" applyNumberFormat="1" applyFont="1" applyFill="1" applyBorder="1" applyAlignment="1" applyProtection="1">
      <alignment horizontal="center" vertical="center"/>
      <protection/>
    </xf>
    <xf numFmtId="0" fontId="40" fillId="3" borderId="7" xfId="0" applyFont="1" applyFill="1" applyBorder="1" applyAlignment="1" applyProtection="1">
      <alignment horizontal="center" vertical="center"/>
      <protection/>
    </xf>
    <xf numFmtId="0" fontId="38" fillId="4" borderId="17" xfId="0" applyFont="1" applyFill="1" applyBorder="1" applyAlignment="1" applyProtection="1">
      <alignment horizontal="left" vertical="center"/>
      <protection/>
    </xf>
    <xf numFmtId="164" fontId="39" fillId="7" borderId="46" xfId="0" applyNumberFormat="1" applyFont="1" applyFill="1" applyBorder="1" applyAlignment="1" applyProtection="1">
      <alignment horizontal="center" vertical="center"/>
      <protection locked="0"/>
    </xf>
    <xf numFmtId="164" fontId="39" fillId="4" borderId="47" xfId="0" applyNumberFormat="1" applyFont="1" applyFill="1" applyBorder="1" applyAlignment="1" applyProtection="1">
      <alignment horizontal="center" vertical="center"/>
      <protection/>
    </xf>
    <xf numFmtId="164" fontId="43" fillId="4" borderId="24" xfId="0" applyNumberFormat="1" applyFont="1" applyFill="1" applyBorder="1" applyAlignment="1" applyProtection="1">
      <alignment horizontal="center" vertical="center"/>
      <protection/>
    </xf>
    <xf numFmtId="9" fontId="50" fillId="4" borderId="24" xfId="0" applyNumberFormat="1" applyFont="1" applyFill="1" applyBorder="1" applyAlignment="1" applyProtection="1">
      <alignment horizontal="center" vertical="center"/>
      <protection/>
    </xf>
    <xf numFmtId="0" fontId="45" fillId="0" borderId="26" xfId="0" applyFont="1" applyBorder="1" applyAlignment="1" applyProtection="1">
      <alignment horizontal="left" vertical="center"/>
      <protection/>
    </xf>
    <xf numFmtId="0" fontId="15" fillId="0" borderId="26" xfId="0" applyFont="1" applyBorder="1" applyAlignment="1" applyProtection="1">
      <alignment horizontal="center" vertical="center"/>
      <protection/>
    </xf>
    <xf numFmtId="0" fontId="27" fillId="0" borderId="26" xfId="0" applyFont="1" applyBorder="1" applyAlignment="1" applyProtection="1">
      <alignment horizontal="center" vertical="center"/>
      <protection/>
    </xf>
    <xf numFmtId="164" fontId="39" fillId="7" borderId="48" xfId="0" applyNumberFormat="1" applyFont="1" applyFill="1" applyBorder="1" applyAlignment="1" applyProtection="1">
      <alignment horizontal="center" vertical="center"/>
      <protection locked="0"/>
    </xf>
    <xf numFmtId="164" fontId="39" fillId="2" borderId="48" xfId="0" applyNumberFormat="1" applyFont="1" applyFill="1" applyBorder="1" applyAlignment="1" applyProtection="1">
      <alignment horizontal="center" vertical="center"/>
      <protection locked="0"/>
    </xf>
    <xf numFmtId="164" fontId="39" fillId="7" borderId="5" xfId="0" applyNumberFormat="1" applyFont="1" applyFill="1" applyBorder="1" applyAlignment="1" applyProtection="1">
      <alignment horizontal="center" vertical="center"/>
      <protection locked="0"/>
    </xf>
    <xf numFmtId="164" fontId="39" fillId="2" borderId="5" xfId="0" applyNumberFormat="1" applyFont="1" applyFill="1" applyBorder="1" applyAlignment="1" applyProtection="1">
      <alignment horizontal="center" vertical="center"/>
      <protection locked="0"/>
    </xf>
    <xf numFmtId="164" fontId="39" fillId="7" borderId="29" xfId="0" applyNumberFormat="1" applyFont="1" applyFill="1" applyBorder="1" applyAlignment="1" applyProtection="1">
      <alignment horizontal="center" vertical="center"/>
      <protection locked="0"/>
    </xf>
    <xf numFmtId="0" fontId="33" fillId="3" borderId="14" xfId="0" applyFont="1" applyFill="1" applyBorder="1" applyAlignment="1" applyProtection="1">
      <alignment horizontal="left" vertical="center"/>
      <protection/>
    </xf>
    <xf numFmtId="0" fontId="39" fillId="3" borderId="14" xfId="0" applyNumberFormat="1" applyFont="1" applyFill="1" applyBorder="1" applyAlignment="1" applyProtection="1">
      <alignment/>
      <protection/>
    </xf>
    <xf numFmtId="164" fontId="39" fillId="2" borderId="29" xfId="0" applyNumberFormat="1" applyFont="1" applyFill="1" applyBorder="1" applyAlignment="1" applyProtection="1">
      <alignment horizontal="center" vertical="center"/>
      <protection locked="0"/>
    </xf>
    <xf numFmtId="164" fontId="39" fillId="7" borderId="49" xfId="0" applyNumberFormat="1" applyFont="1" applyFill="1" applyBorder="1" applyAlignment="1" applyProtection="1">
      <alignment horizontal="center"/>
      <protection locked="0"/>
    </xf>
    <xf numFmtId="0" fontId="48" fillId="0" borderId="0" xfId="0" applyNumberFormat="1" applyFont="1" applyAlignment="1" applyProtection="1">
      <alignment/>
      <protection/>
    </xf>
    <xf numFmtId="164" fontId="48" fillId="0" borderId="0" xfId="0" applyNumberFormat="1" applyFont="1" applyAlignment="1" applyProtection="1">
      <alignment horizontal="center" vertical="center"/>
      <protection/>
    </xf>
    <xf numFmtId="164" fontId="39" fillId="0" borderId="0" xfId="0" applyNumberFormat="1" applyFont="1" applyAlignment="1" applyProtection="1">
      <alignment horizontal="center" vertical="center"/>
      <protection/>
    </xf>
    <xf numFmtId="0" fontId="47" fillId="0" borderId="0" xfId="0" applyNumberFormat="1" applyFont="1" applyAlignment="1" applyProtection="1">
      <alignment horizontal="center" vertical="center"/>
      <protection/>
    </xf>
    <xf numFmtId="0" fontId="38" fillId="0" borderId="0" xfId="21" applyNumberFormat="1" applyFont="1" applyAlignment="1" applyProtection="1">
      <alignment/>
      <protection/>
    </xf>
    <xf numFmtId="164" fontId="38" fillId="0" borderId="0" xfId="21" applyNumberFormat="1" applyFont="1" applyAlignment="1" applyProtection="1">
      <alignment horizontal="center" vertical="center"/>
      <protection/>
    </xf>
    <xf numFmtId="0" fontId="36" fillId="0" borderId="0" xfId="21" applyNumberFormat="1" applyFont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1" fontId="22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9" fontId="12" fillId="8" borderId="0" xfId="0" applyNumberFormat="1" applyFont="1" applyFill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3" fontId="22" fillId="0" borderId="0" xfId="0" applyNumberFormat="1" applyFont="1" applyAlignment="1" applyProtection="1">
      <alignment/>
      <protection hidden="1"/>
    </xf>
    <xf numFmtId="0" fontId="3" fillId="0" borderId="29" xfId="0" applyFont="1" applyBorder="1" applyAlignment="1" applyProtection="1">
      <alignment/>
      <protection hidden="1"/>
    </xf>
    <xf numFmtId="165" fontId="12" fillId="0" borderId="29" xfId="0" applyNumberFormat="1" applyFont="1" applyBorder="1" applyAlignment="1" applyProtection="1">
      <alignment horizontal="center" vertical="center"/>
      <protection hidden="1"/>
    </xf>
    <xf numFmtId="165" fontId="24" fillId="0" borderId="29" xfId="0" applyNumberFormat="1" applyFont="1" applyBorder="1" applyAlignment="1" applyProtection="1">
      <alignment horizontal="center" vertical="center"/>
      <protection hidden="1"/>
    </xf>
    <xf numFmtId="165" fontId="24" fillId="0" borderId="5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/>
      <protection hidden="1" locked="0"/>
    </xf>
    <xf numFmtId="0" fontId="11" fillId="0" borderId="0" xfId="0" applyFont="1" applyBorder="1" applyAlignment="1" applyProtection="1">
      <alignment horizontal="center" vertical="center"/>
      <protection hidden="1"/>
    </xf>
    <xf numFmtId="0" fontId="0" fillId="0" borderId="5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0" borderId="51" xfId="0" applyFont="1" applyBorder="1" applyAlignment="1" applyProtection="1">
      <alignment/>
      <protection hidden="1"/>
    </xf>
    <xf numFmtId="165" fontId="31" fillId="0" borderId="9" xfId="0" applyNumberFormat="1" applyFont="1" applyBorder="1" applyAlignment="1" applyProtection="1">
      <alignment/>
      <protection hidden="1"/>
    </xf>
    <xf numFmtId="165" fontId="24" fillId="0" borderId="51" xfId="0" applyNumberFormat="1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/>
      <protection hidden="1"/>
    </xf>
    <xf numFmtId="0" fontId="3" fillId="0" borderId="51" xfId="0" applyFont="1" applyBorder="1" applyAlignment="1" applyProtection="1">
      <alignment/>
      <protection hidden="1"/>
    </xf>
    <xf numFmtId="165" fontId="24" fillId="0" borderId="10" xfId="0" applyNumberFormat="1" applyFont="1" applyBorder="1" applyAlignment="1" applyProtection="1">
      <alignment horizontal="center" vertical="center"/>
      <protection hidden="1"/>
    </xf>
    <xf numFmtId="165" fontId="21" fillId="0" borderId="11" xfId="0" applyNumberFormat="1" applyFont="1" applyBorder="1" applyAlignment="1" applyProtection="1">
      <alignment horizontal="center" vertical="center"/>
      <protection hidden="1"/>
    </xf>
    <xf numFmtId="165" fontId="12" fillId="0" borderId="53" xfId="0" applyNumberFormat="1" applyFont="1" applyBorder="1" applyAlignment="1" applyProtection="1">
      <alignment horizontal="center" vertical="center"/>
      <protection hidden="1"/>
    </xf>
    <xf numFmtId="165" fontId="31" fillId="0" borderId="53" xfId="0" applyNumberFormat="1" applyFont="1" applyBorder="1" applyAlignment="1" applyProtection="1">
      <alignment horizontal="center" vertical="center"/>
      <protection hidden="1"/>
    </xf>
    <xf numFmtId="165" fontId="31" fillId="0" borderId="54" xfId="0" applyNumberFormat="1" applyFont="1" applyBorder="1" applyAlignment="1" applyProtection="1">
      <alignment horizontal="center" vertical="center"/>
      <protection hidden="1"/>
    </xf>
    <xf numFmtId="0" fontId="0" fillId="0" borderId="11" xfId="0" applyBorder="1" applyAlignment="1">
      <alignment horizontal="center" vertical="center"/>
    </xf>
    <xf numFmtId="177" fontId="12" fillId="0" borderId="0" xfId="0" applyNumberFormat="1" applyFont="1" applyBorder="1" applyAlignment="1">
      <alignment horizontal="center" vertical="center"/>
    </xf>
    <xf numFmtId="165" fontId="24" fillId="0" borderId="9" xfId="0" applyNumberFormat="1" applyFont="1" applyBorder="1" applyAlignment="1">
      <alignment horizontal="center" vertical="center"/>
    </xf>
    <xf numFmtId="165" fontId="24" fillId="0" borderId="0" xfId="0" applyNumberFormat="1" applyFont="1" applyBorder="1" applyAlignment="1">
      <alignment horizontal="center" vertical="center"/>
    </xf>
    <xf numFmtId="0" fontId="24" fillId="0" borderId="55" xfId="0" applyFont="1" applyBorder="1" applyAlignment="1" applyProtection="1">
      <alignment/>
      <protection hidden="1"/>
    </xf>
    <xf numFmtId="0" fontId="3" fillId="0" borderId="56" xfId="0" applyFont="1" applyBorder="1" applyAlignment="1" applyProtection="1">
      <alignment/>
      <protection hidden="1"/>
    </xf>
    <xf numFmtId="164" fontId="24" fillId="0" borderId="57" xfId="0" applyNumberFormat="1" applyFont="1" applyBorder="1" applyAlignment="1" applyProtection="1">
      <alignment/>
      <protection hidden="1"/>
    </xf>
    <xf numFmtId="164" fontId="39" fillId="2" borderId="38" xfId="0" applyNumberFormat="1" applyFont="1" applyFill="1" applyBorder="1" applyAlignment="1" applyProtection="1">
      <alignment horizontal="center" vertical="center"/>
      <protection locked="0"/>
    </xf>
    <xf numFmtId="164" fontId="39" fillId="2" borderId="39" xfId="0" applyNumberFormat="1" applyFont="1" applyFill="1" applyBorder="1" applyAlignment="1" applyProtection="1">
      <alignment horizontal="center" vertical="center"/>
      <protection locked="0"/>
    </xf>
    <xf numFmtId="184" fontId="0" fillId="0" borderId="0" xfId="0" applyNumberFormat="1" applyAlignment="1" applyProtection="1">
      <alignment/>
      <protection hidden="1"/>
    </xf>
    <xf numFmtId="165" fontId="3" fillId="0" borderId="0" xfId="0" applyNumberFormat="1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3" fontId="12" fillId="0" borderId="0" xfId="0" applyNumberFormat="1" applyFont="1" applyFill="1" applyBorder="1" applyAlignment="1" applyProtection="1">
      <alignment/>
      <protection hidden="1"/>
    </xf>
    <xf numFmtId="3" fontId="3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3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 applyBorder="1" applyAlignment="1" applyProtection="1">
      <alignment/>
      <protection hidden="1"/>
    </xf>
    <xf numFmtId="177" fontId="12" fillId="0" borderId="0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Alignment="1" applyProtection="1">
      <alignment/>
      <protection hidden="1"/>
    </xf>
    <xf numFmtId="0" fontId="0" fillId="0" borderId="58" xfId="0" applyBorder="1" applyAlignment="1">
      <alignment/>
    </xf>
    <xf numFmtId="164" fontId="0" fillId="0" borderId="0" xfId="0" applyNumberFormat="1" applyAlignment="1" applyProtection="1">
      <alignment horizontal="center"/>
      <protection hidden="1"/>
    </xf>
    <xf numFmtId="3" fontId="3" fillId="0" borderId="0" xfId="0" applyNumberFormat="1" applyFont="1" applyFill="1" applyBorder="1" applyAlignment="1" applyProtection="1">
      <alignment horizontal="right"/>
      <protection hidden="1"/>
    </xf>
    <xf numFmtId="165" fontId="3" fillId="0" borderId="0" xfId="0" applyNumberFormat="1" applyFont="1" applyFill="1" applyBorder="1" applyAlignment="1" applyProtection="1">
      <alignment horizontal="center"/>
      <protection hidden="1"/>
    </xf>
    <xf numFmtId="165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165" fontId="3" fillId="9" borderId="59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3" fontId="3" fillId="3" borderId="60" xfId="0" applyNumberFormat="1" applyFont="1" applyFill="1" applyBorder="1" applyAlignment="1" applyProtection="1">
      <alignment horizontal="center"/>
      <protection hidden="1"/>
    </xf>
    <xf numFmtId="192" fontId="3" fillId="3" borderId="5" xfId="0" applyNumberFormat="1" applyFont="1" applyFill="1" applyBorder="1" applyAlignment="1" applyProtection="1">
      <alignment horizontal="center"/>
      <protection hidden="1"/>
    </xf>
    <xf numFmtId="164" fontId="3" fillId="3" borderId="61" xfId="0" applyNumberFormat="1" applyFont="1" applyFill="1" applyBorder="1" applyAlignment="1" applyProtection="1">
      <alignment horizontal="center"/>
      <protection hidden="1"/>
    </xf>
    <xf numFmtId="164" fontId="3" fillId="0" borderId="62" xfId="0" applyNumberFormat="1" applyFont="1" applyFill="1" applyBorder="1" applyAlignment="1" applyProtection="1">
      <alignment horizontal="center"/>
      <protection hidden="1"/>
    </xf>
    <xf numFmtId="192" fontId="3" fillId="4" borderId="5" xfId="0" applyNumberFormat="1" applyFont="1" applyFill="1" applyBorder="1" applyAlignment="1" applyProtection="1">
      <alignment horizontal="center"/>
      <protection hidden="1"/>
    </xf>
    <xf numFmtId="164" fontId="3" fillId="4" borderId="61" xfId="0" applyNumberFormat="1" applyFont="1" applyFill="1" applyBorder="1" applyAlignment="1" applyProtection="1">
      <alignment horizontal="center"/>
      <protection hidden="1"/>
    </xf>
    <xf numFmtId="164" fontId="3" fillId="0" borderId="63" xfId="0" applyNumberFormat="1" applyFont="1" applyFill="1" applyBorder="1" applyAlignment="1" applyProtection="1">
      <alignment horizontal="center" wrapText="1"/>
      <protection hidden="1"/>
    </xf>
    <xf numFmtId="164" fontId="3" fillId="0" borderId="64" xfId="0" applyNumberFormat="1" applyFont="1" applyFill="1" applyBorder="1" applyAlignment="1" applyProtection="1">
      <alignment horizontal="center"/>
      <protection hidden="1"/>
    </xf>
    <xf numFmtId="164" fontId="3" fillId="3" borderId="60" xfId="0" applyNumberFormat="1" applyFont="1" applyFill="1" applyBorder="1" applyAlignment="1" applyProtection="1">
      <alignment horizontal="center"/>
      <protection hidden="1"/>
    </xf>
    <xf numFmtId="164" fontId="3" fillId="0" borderId="60" xfId="0" applyNumberFormat="1" applyFont="1" applyFill="1" applyBorder="1" applyAlignment="1" applyProtection="1">
      <alignment horizontal="center"/>
      <protection hidden="1"/>
    </xf>
    <xf numFmtId="192" fontId="3" fillId="0" borderId="5" xfId="0" applyNumberFormat="1" applyFont="1" applyFill="1" applyBorder="1" applyAlignment="1" applyProtection="1">
      <alignment horizontal="center"/>
      <protection hidden="1"/>
    </xf>
    <xf numFmtId="164" fontId="3" fillId="0" borderId="6" xfId="0" applyNumberFormat="1" applyFont="1" applyFill="1" applyBorder="1" applyAlignment="1" applyProtection="1">
      <alignment horizontal="center"/>
      <protection hidden="1"/>
    </xf>
    <xf numFmtId="164" fontId="3" fillId="4" borderId="60" xfId="0" applyNumberFormat="1" applyFont="1" applyFill="1" applyBorder="1" applyAlignment="1" applyProtection="1">
      <alignment horizontal="center"/>
      <protection hidden="1"/>
    </xf>
    <xf numFmtId="164" fontId="3" fillId="0" borderId="61" xfId="0" applyNumberFormat="1" applyFont="1" applyFill="1" applyBorder="1" applyAlignment="1" applyProtection="1">
      <alignment horizontal="center"/>
      <protection hidden="1"/>
    </xf>
    <xf numFmtId="192" fontId="3" fillId="0" borderId="65" xfId="0" applyNumberFormat="1" applyFont="1" applyFill="1" applyBorder="1" applyAlignment="1" applyProtection="1">
      <alignment horizontal="center"/>
      <protection hidden="1"/>
    </xf>
    <xf numFmtId="164" fontId="3" fillId="0" borderId="66" xfId="0" applyNumberFormat="1" applyFont="1" applyFill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3" fillId="4" borderId="54" xfId="0" applyFont="1" applyFill="1" applyBorder="1" applyAlignment="1" applyProtection="1">
      <alignment horizontal="center"/>
      <protection hidden="1"/>
    </xf>
    <xf numFmtId="165" fontId="3" fillId="9" borderId="67" xfId="0" applyNumberFormat="1" applyFont="1" applyFill="1" applyBorder="1" applyAlignment="1" applyProtection="1">
      <alignment horizontal="center"/>
      <protection hidden="1"/>
    </xf>
    <xf numFmtId="0" fontId="3" fillId="0" borderId="54" xfId="0" applyFont="1" applyFill="1" applyBorder="1" applyAlignment="1" applyProtection="1">
      <alignment horizontal="center"/>
      <protection hidden="1"/>
    </xf>
    <xf numFmtId="0" fontId="0" fillId="0" borderId="54" xfId="0" applyFont="1" applyFill="1" applyBorder="1" applyAlignment="1" applyProtection="1">
      <alignment horizontal="center"/>
      <protection hidden="1"/>
    </xf>
    <xf numFmtId="0" fontId="0" fillId="4" borderId="54" xfId="0" applyFont="1" applyFill="1" applyBorder="1" applyAlignment="1" applyProtection="1">
      <alignment horizontal="center"/>
      <protection hidden="1"/>
    </xf>
    <xf numFmtId="165" fontId="3" fillId="9" borderId="68" xfId="0" applyNumberFormat="1" applyFont="1" applyFill="1" applyBorder="1" applyAlignment="1" applyProtection="1">
      <alignment horizontal="center"/>
      <protection hidden="1"/>
    </xf>
    <xf numFmtId="0" fontId="0" fillId="3" borderId="54" xfId="0" applyFont="1" applyFill="1" applyBorder="1" applyAlignment="1" applyProtection="1">
      <alignment horizontal="center"/>
      <protection hidden="1"/>
    </xf>
    <xf numFmtId="6" fontId="3" fillId="3" borderId="61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 wrapText="1"/>
      <protection hidden="1"/>
    </xf>
    <xf numFmtId="0" fontId="3" fillId="3" borderId="54" xfId="0" applyFont="1" applyFill="1" applyBorder="1" applyAlignment="1" applyProtection="1">
      <alignment horizontal="center"/>
      <protection hidden="1"/>
    </xf>
    <xf numFmtId="178" fontId="3" fillId="0" borderId="0" xfId="0" applyNumberFormat="1" applyFont="1" applyFill="1" applyBorder="1" applyAlignment="1" applyProtection="1">
      <alignment horizontal="center"/>
      <protection hidden="1"/>
    </xf>
    <xf numFmtId="3" fontId="0" fillId="0" borderId="0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Font="1" applyFill="1" applyBorder="1" applyAlignment="1" applyProtection="1">
      <alignment horizontal="center"/>
      <protection hidden="1"/>
    </xf>
    <xf numFmtId="3" fontId="0" fillId="0" borderId="0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Border="1" applyAlignment="1">
      <alignment/>
    </xf>
    <xf numFmtId="164" fontId="0" fillId="0" borderId="0" xfId="0" applyNumberFormat="1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3" fontId="24" fillId="0" borderId="0" xfId="0" applyNumberFormat="1" applyFont="1" applyAlignment="1" applyProtection="1">
      <alignment/>
      <protection hidden="1"/>
    </xf>
    <xf numFmtId="190" fontId="0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>
      <alignment horizontal="center"/>
    </xf>
    <xf numFmtId="184" fontId="3" fillId="0" borderId="0" xfId="0" applyNumberFormat="1" applyFont="1" applyFill="1" applyBorder="1" applyAlignment="1" applyProtection="1">
      <alignment horizontal="center"/>
      <protection hidden="1"/>
    </xf>
    <xf numFmtId="164" fontId="3" fillId="4" borderId="5" xfId="0" applyNumberFormat="1" applyFont="1" applyFill="1" applyBorder="1" applyAlignment="1" applyProtection="1">
      <alignment horizontal="center" vertical="center"/>
      <protection/>
    </xf>
    <xf numFmtId="165" fontId="3" fillId="9" borderId="69" xfId="0" applyNumberFormat="1" applyFont="1" applyFill="1" applyBorder="1" applyAlignment="1" applyProtection="1">
      <alignment horizontal="center"/>
      <protection hidden="1"/>
    </xf>
    <xf numFmtId="164" fontId="3" fillId="0" borderId="70" xfId="0" applyNumberFormat="1" applyFont="1" applyFill="1" applyBorder="1" applyAlignment="1" applyProtection="1">
      <alignment horizontal="center"/>
      <protection hidden="1"/>
    </xf>
    <xf numFmtId="164" fontId="3" fillId="4" borderId="56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177" fontId="0" fillId="0" borderId="0" xfId="0" applyNumberFormat="1" applyFont="1" applyFill="1" applyBorder="1" applyAlignment="1" applyProtection="1">
      <alignment horizontal="center"/>
      <protection/>
    </xf>
    <xf numFmtId="177" fontId="3" fillId="0" borderId="0" xfId="0" applyNumberFormat="1" applyFont="1" applyFill="1" applyBorder="1" applyAlignment="1" applyProtection="1">
      <alignment horizontal="center"/>
      <protection/>
    </xf>
    <xf numFmtId="177" fontId="0" fillId="0" borderId="0" xfId="17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" fontId="0" fillId="0" borderId="0" xfId="0" applyNumberFormat="1" applyFont="1" applyFill="1" applyBorder="1" applyAlignment="1" applyProtection="1">
      <alignment horizontal="center"/>
      <protection hidden="1"/>
    </xf>
    <xf numFmtId="10" fontId="3" fillId="0" borderId="0" xfId="0" applyNumberFormat="1" applyFont="1" applyFill="1" applyBorder="1" applyAlignment="1" applyProtection="1">
      <alignment horizontal="center" wrapText="1"/>
      <protection hidden="1"/>
    </xf>
    <xf numFmtId="0" fontId="0" fillId="1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9" fontId="0" fillId="0" borderId="0" xfId="0" applyNumberFormat="1" applyFont="1" applyFill="1" applyBorder="1" applyAlignment="1" applyProtection="1">
      <alignment horizontal="center"/>
      <protection locked="0"/>
    </xf>
    <xf numFmtId="177" fontId="25" fillId="0" borderId="0" xfId="0" applyNumberFormat="1" applyFont="1" applyFill="1" applyBorder="1" applyAlignment="1" applyProtection="1">
      <alignment horizontal="center"/>
      <protection locked="0"/>
    </xf>
    <xf numFmtId="164" fontId="3" fillId="0" borderId="71" xfId="0" applyNumberFormat="1" applyFont="1" applyFill="1" applyBorder="1" applyAlignment="1" applyProtection="1">
      <alignment horizontal="center"/>
      <protection hidden="1"/>
    </xf>
    <xf numFmtId="0" fontId="58" fillId="0" borderId="0" xfId="0" applyFont="1" applyFill="1" applyBorder="1" applyAlignment="1" applyProtection="1">
      <alignment horizontal="center"/>
      <protection hidden="1"/>
    </xf>
    <xf numFmtId="184" fontId="0" fillId="0" borderId="0" xfId="0" applyNumberFormat="1" applyFont="1" applyFill="1" applyBorder="1" applyAlignment="1" applyProtection="1">
      <alignment horizontal="center"/>
      <protection hidden="1"/>
    </xf>
    <xf numFmtId="165" fontId="3" fillId="0" borderId="0" xfId="0" applyNumberFormat="1" applyFont="1" applyFill="1" applyBorder="1" applyAlignment="1" applyProtection="1">
      <alignment horizontal="center"/>
      <protection hidden="1"/>
    </xf>
    <xf numFmtId="9" fontId="0" fillId="0" borderId="0" xfId="0" applyNumberFormat="1" applyFont="1" applyFill="1" applyBorder="1" applyAlignment="1" applyProtection="1">
      <alignment horizontal="center"/>
      <protection hidden="1"/>
    </xf>
    <xf numFmtId="0" fontId="62" fillId="0" borderId="0" xfId="0" applyFont="1" applyFill="1" applyBorder="1" applyAlignment="1" applyProtection="1">
      <alignment horizontal="center"/>
      <protection hidden="1"/>
    </xf>
    <xf numFmtId="1" fontId="58" fillId="0" borderId="0" xfId="0" applyNumberFormat="1" applyFont="1" applyFill="1" applyBorder="1" applyAlignment="1" applyProtection="1">
      <alignment horizontal="center"/>
      <protection hidden="1"/>
    </xf>
    <xf numFmtId="3" fontId="59" fillId="0" borderId="0" xfId="0" applyNumberFormat="1" applyFont="1" applyFill="1" applyBorder="1" applyAlignment="1" applyProtection="1">
      <alignment horizontal="center"/>
      <protection hidden="1"/>
    </xf>
    <xf numFmtId="1" fontId="61" fillId="0" borderId="0" xfId="0" applyNumberFormat="1" applyFont="1" applyFill="1" applyBorder="1" applyAlignment="1" applyProtection="1">
      <alignment horizontal="center"/>
      <protection hidden="1"/>
    </xf>
    <xf numFmtId="3" fontId="60" fillId="0" borderId="0" xfId="0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59" fillId="0" borderId="0" xfId="0" applyFont="1" applyFill="1" applyBorder="1" applyAlignment="1" applyProtection="1">
      <alignment horizontal="center"/>
      <protection hidden="1"/>
    </xf>
    <xf numFmtId="0" fontId="60" fillId="0" borderId="0" xfId="0" applyFont="1" applyFill="1" applyBorder="1" applyAlignment="1" applyProtection="1">
      <alignment horizontal="center"/>
      <protection hidden="1"/>
    </xf>
    <xf numFmtId="1" fontId="60" fillId="0" borderId="0" xfId="0" applyNumberFormat="1" applyFont="1" applyFill="1" applyBorder="1" applyAlignment="1" applyProtection="1">
      <alignment horizontal="center"/>
      <protection hidden="1"/>
    </xf>
    <xf numFmtId="1" fontId="3" fillId="0" borderId="0" xfId="0" applyNumberFormat="1" applyFont="1" applyFill="1" applyBorder="1" applyAlignment="1" applyProtection="1">
      <alignment horizontal="center"/>
      <protection hidden="1"/>
    </xf>
    <xf numFmtId="0" fontId="49" fillId="0" borderId="0" xfId="0" applyFont="1" applyFill="1" applyBorder="1" applyAlignment="1" applyProtection="1">
      <alignment horizontal="center"/>
      <protection hidden="1"/>
    </xf>
    <xf numFmtId="1" fontId="25" fillId="0" borderId="0" xfId="0" applyNumberFormat="1" applyFont="1" applyFill="1" applyBorder="1" applyAlignment="1" applyProtection="1">
      <alignment horizontal="center"/>
      <protection hidden="1"/>
    </xf>
    <xf numFmtId="1" fontId="3" fillId="0" borderId="0" xfId="0" applyNumberFormat="1" applyFont="1" applyFill="1" applyBorder="1" applyAlignment="1" applyProtection="1">
      <alignment horizontal="center"/>
      <protection hidden="1"/>
    </xf>
    <xf numFmtId="0" fontId="54" fillId="0" borderId="0" xfId="0" applyFont="1" applyAlignment="1" applyProtection="1">
      <alignment horizontal="left" vertical="center"/>
      <protection locked="0"/>
    </xf>
    <xf numFmtId="0" fontId="14" fillId="2" borderId="72" xfId="0" applyFont="1" applyFill="1" applyBorder="1" applyAlignment="1">
      <alignment horizontal="center"/>
    </xf>
    <xf numFmtId="164" fontId="0" fillId="0" borderId="58" xfId="0" applyNumberFormat="1" applyBorder="1" applyAlignment="1">
      <alignment/>
    </xf>
    <xf numFmtId="0" fontId="55" fillId="0" borderId="0" xfId="0" applyFont="1" applyFill="1" applyBorder="1" applyAlignment="1" applyProtection="1">
      <alignment horizontal="left" vertical="center" wrapText="1" indent="1"/>
      <protection hidden="1"/>
    </xf>
    <xf numFmtId="0" fontId="55" fillId="0" borderId="0" xfId="0" applyFont="1" applyBorder="1" applyAlignment="1" applyProtection="1">
      <alignment horizontal="left" vertical="center" wrapText="1" indent="1"/>
      <protection hidden="1"/>
    </xf>
    <xf numFmtId="0" fontId="4" fillId="0" borderId="0" xfId="0" applyFont="1" applyAlignment="1" applyProtection="1">
      <alignment/>
      <protection hidden="1"/>
    </xf>
    <xf numFmtId="0" fontId="35" fillId="0" borderId="0" xfId="0" applyNumberFormat="1" applyFont="1" applyAlignment="1" applyProtection="1">
      <alignment/>
      <protection hidden="1"/>
    </xf>
    <xf numFmtId="0" fontId="36" fillId="0" borderId="0" xfId="0" applyNumberFormat="1" applyFont="1" applyAlignment="1" applyProtection="1">
      <alignment/>
      <protection hidden="1"/>
    </xf>
    <xf numFmtId="187" fontId="36" fillId="0" borderId="0" xfId="0" applyNumberFormat="1" applyFont="1" applyAlignment="1" applyProtection="1">
      <alignment/>
      <protection hidden="1"/>
    </xf>
    <xf numFmtId="187" fontId="38" fillId="0" borderId="0" xfId="0" applyNumberFormat="1" applyFont="1" applyAlignment="1" applyProtection="1">
      <alignment/>
      <protection hidden="1"/>
    </xf>
    <xf numFmtId="0" fontId="36" fillId="0" borderId="0" xfId="0" applyNumberFormat="1" applyFont="1" applyAlignment="1" applyProtection="1">
      <alignment/>
      <protection hidden="1"/>
    </xf>
    <xf numFmtId="187" fontId="42" fillId="0" borderId="0" xfId="0" applyNumberFormat="1" applyFont="1" applyAlignment="1" applyProtection="1">
      <alignment/>
      <protection hidden="1"/>
    </xf>
    <xf numFmtId="0" fontId="36" fillId="0" borderId="0" xfId="0" applyNumberFormat="1" applyFont="1" applyFill="1" applyAlignment="1" applyProtection="1">
      <alignment/>
      <protection hidden="1"/>
    </xf>
    <xf numFmtId="6" fontId="36" fillId="0" borderId="0" xfId="0" applyNumberFormat="1" applyFont="1" applyAlignment="1" applyProtection="1">
      <alignment/>
      <protection hidden="1"/>
    </xf>
    <xf numFmtId="6" fontId="36" fillId="0" borderId="0" xfId="0" applyNumberFormat="1" applyFont="1" applyFill="1" applyAlignment="1" applyProtection="1">
      <alignment/>
      <protection hidden="1"/>
    </xf>
    <xf numFmtId="189" fontId="36" fillId="0" borderId="0" xfId="0" applyNumberFormat="1" applyFont="1" applyAlignment="1" applyProtection="1">
      <alignment/>
      <protection hidden="1"/>
    </xf>
    <xf numFmtId="188" fontId="36" fillId="0" borderId="0" xfId="0" applyNumberFormat="1" applyFont="1" applyAlignment="1" applyProtection="1">
      <alignment/>
      <protection hidden="1"/>
    </xf>
    <xf numFmtId="164" fontId="43" fillId="0" borderId="0" xfId="0" applyNumberFormat="1" applyFont="1" applyFill="1" applyBorder="1" applyAlignment="1" applyProtection="1">
      <alignment horizontal="center" vertical="center"/>
      <protection hidden="1"/>
    </xf>
    <xf numFmtId="187" fontId="36" fillId="0" borderId="0" xfId="0" applyNumberFormat="1" applyFont="1" applyFill="1" applyAlignment="1" applyProtection="1">
      <alignment/>
      <protection hidden="1"/>
    </xf>
    <xf numFmtId="0" fontId="36" fillId="0" borderId="0" xfId="0" applyNumberFormat="1" applyFont="1" applyFill="1" applyBorder="1" applyAlignment="1" applyProtection="1">
      <alignment/>
      <protection hidden="1"/>
    </xf>
    <xf numFmtId="0" fontId="36" fillId="0" borderId="0" xfId="0" applyNumberFormat="1" applyFont="1" applyFill="1" applyBorder="1" applyAlignment="1" applyProtection="1">
      <alignment/>
      <protection hidden="1"/>
    </xf>
    <xf numFmtId="164" fontId="36" fillId="0" borderId="0" xfId="0" applyNumberFormat="1" applyFont="1" applyFill="1" applyAlignment="1" applyProtection="1">
      <alignment/>
      <protection hidden="1"/>
    </xf>
    <xf numFmtId="164" fontId="36" fillId="0" borderId="0" xfId="0" applyNumberFormat="1" applyFont="1" applyAlignment="1" applyProtection="1">
      <alignment/>
      <protection hidden="1"/>
    </xf>
    <xf numFmtId="0" fontId="36" fillId="0" borderId="0" xfId="0" applyNumberFormat="1" applyFont="1" applyAlignment="1" applyProtection="1">
      <alignment/>
      <protection locked="0"/>
    </xf>
    <xf numFmtId="0" fontId="36" fillId="0" borderId="0" xfId="0" applyNumberFormat="1" applyFont="1" applyAlignment="1" applyProtection="1">
      <alignment/>
      <protection locked="0"/>
    </xf>
    <xf numFmtId="0" fontId="41" fillId="0" borderId="0" xfId="0" applyNumberFormat="1" applyFont="1" applyAlignment="1" applyProtection="1">
      <alignment/>
      <protection locked="0"/>
    </xf>
    <xf numFmtId="0" fontId="36" fillId="0" borderId="0" xfId="0" applyNumberFormat="1" applyFont="1" applyFill="1" applyAlignment="1" applyProtection="1">
      <alignment/>
      <protection locked="0"/>
    </xf>
    <xf numFmtId="0" fontId="36" fillId="0" borderId="0" xfId="0" applyNumberFormat="1" applyFont="1" applyFill="1" applyBorder="1" applyAlignment="1" applyProtection="1">
      <alignment/>
      <protection locked="0"/>
    </xf>
    <xf numFmtId="0" fontId="0" fillId="0" borderId="58" xfId="0" applyBorder="1" applyAlignment="1">
      <alignment horizontal="right" vertical="top"/>
    </xf>
    <xf numFmtId="1" fontId="52" fillId="0" borderId="0" xfId="0" applyNumberFormat="1" applyFont="1" applyFill="1" applyBorder="1" applyAlignment="1" applyProtection="1">
      <alignment horizontal="right" vertical="top"/>
      <protection locked="0"/>
    </xf>
    <xf numFmtId="0" fontId="56" fillId="0" borderId="0" xfId="0" applyFont="1" applyFill="1" applyBorder="1" applyAlignment="1" applyProtection="1">
      <alignment/>
      <protection locked="0"/>
    </xf>
    <xf numFmtId="178" fontId="3" fillId="0" borderId="73" xfId="0" applyNumberFormat="1" applyFont="1" applyFill="1" applyBorder="1" applyAlignment="1" applyProtection="1">
      <alignment horizontal="center"/>
      <protection hidden="1"/>
    </xf>
    <xf numFmtId="3" fontId="3" fillId="4" borderId="70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NumberFormat="1" applyFont="1" applyFill="1" applyBorder="1" applyAlignment="1">
      <alignment horizontal="center"/>
    </xf>
    <xf numFmtId="10" fontId="3" fillId="2" borderId="7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4" fillId="2" borderId="75" xfId="0" applyFont="1" applyFill="1" applyBorder="1" applyAlignment="1">
      <alignment horizontal="center"/>
    </xf>
    <xf numFmtId="0" fontId="0" fillId="10" borderId="76" xfId="0" applyFont="1" applyFill="1" applyBorder="1" applyAlignment="1">
      <alignment horizontal="center"/>
    </xf>
    <xf numFmtId="164" fontId="3" fillId="2" borderId="29" xfId="0" applyNumberFormat="1" applyFont="1" applyFill="1" applyBorder="1" applyAlignment="1" applyProtection="1">
      <alignment horizontal="center"/>
      <protection locked="0"/>
    </xf>
    <xf numFmtId="184" fontId="3" fillId="2" borderId="29" xfId="0" applyNumberFormat="1" applyFont="1" applyFill="1" applyBorder="1" applyAlignment="1" applyProtection="1">
      <alignment horizontal="center" wrapText="1"/>
      <protection locked="0"/>
    </xf>
    <xf numFmtId="10" fontId="3" fillId="2" borderId="29" xfId="0" applyNumberFormat="1" applyFont="1" applyFill="1" applyBorder="1" applyAlignment="1" applyProtection="1">
      <alignment horizontal="center"/>
      <protection locked="0"/>
    </xf>
    <xf numFmtId="164" fontId="3" fillId="4" borderId="29" xfId="0" applyNumberFormat="1" applyFont="1" applyFill="1" applyBorder="1" applyAlignment="1" applyProtection="1">
      <alignment horizontal="center" vertical="center"/>
      <protection/>
    </xf>
    <xf numFmtId="164" fontId="3" fillId="0" borderId="77" xfId="0" applyNumberFormat="1" applyFont="1" applyFill="1" applyBorder="1" applyAlignment="1" applyProtection="1">
      <alignment horizontal="center" vertical="center" wrapText="1"/>
      <protection/>
    </xf>
    <xf numFmtId="177" fontId="11" fillId="0" borderId="78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19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65" xfId="0" applyFont="1" applyFill="1" applyBorder="1" applyAlignment="1" applyProtection="1">
      <alignment horizontal="center"/>
      <protection hidden="1"/>
    </xf>
    <xf numFmtId="165" fontId="3" fillId="9" borderId="79" xfId="0" applyNumberFormat="1" applyFont="1" applyFill="1" applyBorder="1" applyAlignment="1" applyProtection="1">
      <alignment horizontal="center"/>
      <protection hidden="1"/>
    </xf>
    <xf numFmtId="0" fontId="0" fillId="0" borderId="8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178" fontId="0" fillId="0" borderId="71" xfId="0" applyNumberFormat="1" applyFont="1" applyFill="1" applyBorder="1" applyAlignment="1" applyProtection="1">
      <alignment horizontal="center"/>
      <protection hidden="1"/>
    </xf>
    <xf numFmtId="178" fontId="0" fillId="0" borderId="9" xfId="0" applyNumberFormat="1" applyFont="1" applyFill="1" applyBorder="1" applyAlignment="1" applyProtection="1">
      <alignment horizontal="center"/>
      <protection hidden="1"/>
    </xf>
    <xf numFmtId="178" fontId="0" fillId="0" borderId="81" xfId="0" applyNumberFormat="1" applyFont="1" applyFill="1" applyBorder="1" applyAlignment="1" applyProtection="1">
      <alignment horizontal="center"/>
      <protection hidden="1"/>
    </xf>
    <xf numFmtId="178" fontId="0" fillId="0" borderId="0" xfId="0" applyNumberFormat="1" applyFont="1" applyFill="1" applyBorder="1" applyAlignment="1" applyProtection="1">
      <alignment horizontal="center"/>
      <protection hidden="1"/>
    </xf>
    <xf numFmtId="165" fontId="3" fillId="9" borderId="82" xfId="0" applyNumberFormat="1" applyFont="1" applyFill="1" applyBorder="1" applyAlignment="1" applyProtection="1">
      <alignment horizontal="center"/>
      <protection hidden="1"/>
    </xf>
    <xf numFmtId="0" fontId="0" fillId="4" borderId="83" xfId="0" applyFont="1" applyFill="1" applyBorder="1" applyAlignment="1" applyProtection="1">
      <alignment horizontal="center"/>
      <protection hidden="1"/>
    </xf>
    <xf numFmtId="179" fontId="3" fillId="9" borderId="84" xfId="0" applyNumberFormat="1" applyFont="1" applyFill="1" applyBorder="1" applyAlignment="1" applyProtection="1">
      <alignment horizontal="center"/>
      <protection hidden="1"/>
    </xf>
    <xf numFmtId="164" fontId="3" fillId="0" borderId="60" xfId="0" applyNumberFormat="1" applyFont="1" applyFill="1" applyBorder="1" applyAlignment="1" applyProtection="1">
      <alignment horizontal="center" wrapText="1"/>
      <protection hidden="1"/>
    </xf>
    <xf numFmtId="165" fontId="0" fillId="0" borderId="0" xfId="0" applyNumberFormat="1" applyFont="1" applyFill="1" applyBorder="1" applyAlignment="1" applyProtection="1">
      <alignment horizontal="center" wrapText="1"/>
      <protection hidden="1"/>
    </xf>
    <xf numFmtId="192" fontId="0" fillId="0" borderId="0" xfId="0" applyNumberFormat="1" applyAlignment="1" applyProtection="1">
      <alignment horizontal="center"/>
      <protection hidden="1"/>
    </xf>
    <xf numFmtId="3" fontId="3" fillId="2" borderId="5" xfId="0" applyNumberFormat="1" applyFont="1" applyFill="1" applyBorder="1" applyAlignment="1" applyProtection="1">
      <alignment horizontal="center" vertical="center"/>
      <protection locked="0"/>
    </xf>
    <xf numFmtId="0" fontId="63" fillId="0" borderId="85" xfId="0" applyFont="1" applyFill="1" applyBorder="1" applyAlignment="1">
      <alignment horizontal="left" vertical="center"/>
    </xf>
    <xf numFmtId="0" fontId="0" fillId="11" borderId="86" xfId="0" applyFill="1" applyBorder="1" applyAlignment="1">
      <alignment/>
    </xf>
    <xf numFmtId="0" fontId="0" fillId="0" borderId="86" xfId="0" applyBorder="1" applyAlignment="1">
      <alignment wrapText="1"/>
    </xf>
    <xf numFmtId="0" fontId="0" fillId="0" borderId="87" xfId="0" applyBorder="1" applyAlignment="1">
      <alignment wrapText="1"/>
    </xf>
    <xf numFmtId="164" fontId="3" fillId="0" borderId="74" xfId="0" applyNumberFormat="1" applyFont="1" applyFill="1" applyBorder="1" applyAlignment="1" applyProtection="1">
      <alignment horizontal="center"/>
      <protection/>
    </xf>
    <xf numFmtId="165" fontId="3" fillId="4" borderId="5" xfId="0" applyNumberFormat="1" applyFont="1" applyFill="1" applyBorder="1" applyAlignment="1" applyProtection="1">
      <alignment horizontal="center" vertical="center"/>
      <protection hidden="1"/>
    </xf>
    <xf numFmtId="164" fontId="3" fillId="4" borderId="5" xfId="0" applyNumberFormat="1" applyFont="1" applyFill="1" applyBorder="1" applyAlignment="1" applyProtection="1">
      <alignment horizontal="center" vertical="center"/>
      <protection hidden="1"/>
    </xf>
    <xf numFmtId="179" fontId="3" fillId="9" borderId="67" xfId="0" applyNumberFormat="1" applyFont="1" applyFill="1" applyBorder="1" applyAlignment="1" applyProtection="1">
      <alignment horizontal="center"/>
      <protection hidden="1"/>
    </xf>
    <xf numFmtId="165" fontId="0" fillId="3" borderId="0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ont="1" applyFill="1" applyBorder="1" applyAlignment="1" applyProtection="1">
      <alignment horizontal="right"/>
      <protection hidden="1"/>
    </xf>
    <xf numFmtId="0" fontId="14" fillId="2" borderId="49" xfId="0" applyFont="1" applyFill="1" applyBorder="1" applyAlignment="1" applyProtection="1">
      <alignment horizontal="center" wrapText="1"/>
      <protection locked="0"/>
    </xf>
    <xf numFmtId="10" fontId="0" fillId="0" borderId="0" xfId="0" applyNumberFormat="1" applyFont="1" applyFill="1" applyBorder="1" applyAlignment="1" applyProtection="1">
      <alignment horizontal="center"/>
      <protection hidden="1"/>
    </xf>
    <xf numFmtId="165" fontId="0" fillId="0" borderId="0" xfId="0" applyNumberFormat="1" applyFont="1" applyFill="1" applyAlignment="1" applyProtection="1">
      <alignment horizontal="center"/>
      <protection hidden="1"/>
    </xf>
    <xf numFmtId="165" fontId="0" fillId="0" borderId="0" xfId="0" applyNumberFormat="1" applyFill="1" applyAlignment="1" applyProtection="1">
      <alignment horizontal="center"/>
      <protection hidden="1"/>
    </xf>
    <xf numFmtId="1" fontId="7" fillId="0" borderId="0" xfId="0" applyNumberFormat="1" applyFont="1" applyFill="1" applyBorder="1" applyAlignment="1" applyProtection="1">
      <alignment horizontal="center"/>
      <protection hidden="1"/>
    </xf>
    <xf numFmtId="10" fontId="7" fillId="0" borderId="0" xfId="0" applyNumberFormat="1" applyFont="1" applyFill="1" applyBorder="1" applyAlignment="1" applyProtection="1">
      <alignment horizontal="center"/>
      <protection hidden="1"/>
    </xf>
    <xf numFmtId="0" fontId="0" fillId="10" borderId="0" xfId="0" applyFont="1" applyFill="1" applyBorder="1" applyAlignment="1" applyProtection="1">
      <alignment horizontal="center"/>
      <protection hidden="1"/>
    </xf>
    <xf numFmtId="10" fontId="3" fillId="0" borderId="0" xfId="0" applyNumberFormat="1" applyFont="1" applyFill="1" applyBorder="1" applyAlignment="1" applyProtection="1">
      <alignment horizontal="center"/>
      <protection hidden="1"/>
    </xf>
    <xf numFmtId="3" fontId="3" fillId="0" borderId="0" xfId="0" applyNumberFormat="1" applyFont="1" applyFill="1" applyBorder="1" applyAlignment="1" applyProtection="1">
      <alignment horizontal="center"/>
      <protection hidden="1"/>
    </xf>
    <xf numFmtId="186" fontId="3" fillId="0" borderId="0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65" fontId="0" fillId="0" borderId="0" xfId="0" applyNumberFormat="1" applyFont="1" applyAlignment="1" applyProtection="1">
      <alignment horizontal="center"/>
      <protection hidden="1"/>
    </xf>
    <xf numFmtId="179" fontId="3" fillId="0" borderId="0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 wrapText="1"/>
      <protection hidden="1"/>
    </xf>
    <xf numFmtId="3" fontId="11" fillId="3" borderId="63" xfId="0" applyNumberFormat="1" applyFont="1" applyFill="1" applyBorder="1" applyAlignment="1" applyProtection="1">
      <alignment horizontal="center" wrapText="1"/>
      <protection hidden="1"/>
    </xf>
    <xf numFmtId="164" fontId="3" fillId="0" borderId="88" xfId="0" applyNumberFormat="1" applyFont="1" applyFill="1" applyBorder="1" applyAlignment="1" applyProtection="1">
      <alignment horizontal="center" wrapText="1"/>
      <protection hidden="1"/>
    </xf>
    <xf numFmtId="3" fontId="3" fillId="4" borderId="63" xfId="0" applyNumberFormat="1" applyFont="1" applyFill="1" applyBorder="1" applyAlignment="1" applyProtection="1">
      <alignment horizontal="center" wrapText="1"/>
      <protection hidden="1"/>
    </xf>
    <xf numFmtId="0" fontId="3" fillId="0" borderId="0" xfId="0" applyFont="1" applyFill="1" applyBorder="1" applyAlignment="1" applyProtection="1">
      <alignment horizontal="center" wrapText="1"/>
      <protection hidden="1"/>
    </xf>
    <xf numFmtId="0" fontId="3" fillId="3" borderId="63" xfId="0" applyFont="1" applyFill="1" applyBorder="1" applyAlignment="1" applyProtection="1">
      <alignment horizontal="center" wrapText="1"/>
      <protection hidden="1"/>
    </xf>
    <xf numFmtId="0" fontId="3" fillId="0" borderId="63" xfId="0" applyFont="1" applyFill="1" applyBorder="1" applyAlignment="1" applyProtection="1">
      <alignment horizontal="center" wrapText="1"/>
      <protection hidden="1"/>
    </xf>
    <xf numFmtId="0" fontId="3" fillId="4" borderId="63" xfId="0" applyFont="1" applyFill="1" applyBorder="1" applyAlignment="1" applyProtection="1">
      <alignment horizontal="center" wrapText="1"/>
      <protection hidden="1"/>
    </xf>
    <xf numFmtId="0" fontId="12" fillId="0" borderId="63" xfId="0" applyFont="1" applyFill="1" applyBorder="1" applyAlignment="1" applyProtection="1">
      <alignment horizontal="center" wrapText="1"/>
      <protection hidden="1"/>
    </xf>
    <xf numFmtId="0" fontId="12" fillId="4" borderId="63" xfId="0" applyFont="1" applyFill="1" applyBorder="1" applyAlignment="1" applyProtection="1">
      <alignment horizontal="center" wrapText="1"/>
      <protection hidden="1"/>
    </xf>
    <xf numFmtId="179" fontId="0" fillId="0" borderId="0" xfId="0" applyNumberFormat="1" applyAlignment="1" applyProtection="1">
      <alignment/>
      <protection hidden="1"/>
    </xf>
    <xf numFmtId="179" fontId="6" fillId="0" borderId="0" xfId="0" applyNumberFormat="1" applyFont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164" fontId="0" fillId="0" borderId="89" xfId="0" applyNumberFormat="1" applyBorder="1" applyAlignment="1" applyProtection="1">
      <alignment/>
      <protection hidden="1"/>
    </xf>
    <xf numFmtId="165" fontId="0" fillId="9" borderId="69" xfId="0" applyNumberFormat="1" applyFill="1" applyBorder="1" applyAlignment="1" applyProtection="1">
      <alignment/>
      <protection hidden="1"/>
    </xf>
    <xf numFmtId="165" fontId="0" fillId="0" borderId="0" xfId="0" applyNumberFormat="1" applyFill="1" applyBorder="1" applyAlignment="1" applyProtection="1">
      <alignment/>
      <protection hidden="1"/>
    </xf>
    <xf numFmtId="1" fontId="3" fillId="0" borderId="0" xfId="0" applyNumberFormat="1" applyFont="1" applyAlignment="1" applyProtection="1">
      <alignment/>
      <protection hidden="1"/>
    </xf>
    <xf numFmtId="184" fontId="0" fillId="0" borderId="0" xfId="0" applyNumberFormat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184" fontId="0" fillId="0" borderId="0" xfId="0" applyNumberFormat="1" applyFont="1" applyAlignment="1" applyProtection="1">
      <alignment horizontal="center" vertical="center"/>
      <protection hidden="1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184" fontId="0" fillId="3" borderId="0" xfId="0" applyNumberFormat="1" applyFill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184" fontId="0" fillId="0" borderId="0" xfId="0" applyNumberFormat="1" applyFont="1" applyFill="1" applyBorder="1" applyAlignment="1" applyProtection="1">
      <alignment horizontal="center" wrapText="1"/>
      <protection hidden="1"/>
    </xf>
    <xf numFmtId="177" fontId="0" fillId="0" borderId="0" xfId="0" applyNumberFormat="1" applyFont="1" applyFill="1" applyBorder="1" applyAlignment="1" applyProtection="1">
      <alignment horizontal="center"/>
      <protection hidden="1"/>
    </xf>
    <xf numFmtId="1" fontId="0" fillId="0" borderId="0" xfId="17" applyNumberFormat="1" applyFont="1" applyFill="1" applyBorder="1" applyAlignment="1" applyProtection="1">
      <alignment horizontal="center"/>
      <protection hidden="1"/>
    </xf>
    <xf numFmtId="1" fontId="4" fillId="0" borderId="0" xfId="0" applyNumberFormat="1" applyFont="1" applyFill="1" applyBorder="1" applyAlignment="1" applyProtection="1">
      <alignment horizontal="center" wrapText="1"/>
      <protection hidden="1"/>
    </xf>
    <xf numFmtId="0" fontId="13" fillId="0" borderId="90" xfId="0" applyFont="1" applyFill="1" applyBorder="1" applyAlignment="1" applyProtection="1">
      <alignment horizontal="center" vertical="center" wrapText="1"/>
      <protection/>
    </xf>
    <xf numFmtId="0" fontId="0" fillId="0" borderId="91" xfId="0" applyBorder="1" applyAlignment="1">
      <alignment horizontal="center" wrapText="1"/>
    </xf>
    <xf numFmtId="0" fontId="0" fillId="9" borderId="0" xfId="0" applyFill="1" applyAlignment="1" applyProtection="1">
      <alignment/>
      <protection hidden="1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49" fontId="0" fillId="0" borderId="0" xfId="0" applyNumberFormat="1" applyAlignment="1">
      <alignment/>
    </xf>
    <xf numFmtId="0" fontId="0" fillId="0" borderId="0" xfId="0" applyAlignment="1" applyProtection="1">
      <alignment wrapText="1"/>
      <protection locked="0"/>
    </xf>
    <xf numFmtId="0" fontId="27" fillId="0" borderId="0" xfId="0" applyFont="1" applyAlignment="1">
      <alignment/>
    </xf>
    <xf numFmtId="0" fontId="27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164" fontId="72" fillId="0" borderId="0" xfId="0" applyNumberFormat="1" applyFont="1" applyAlignment="1">
      <alignment horizontal="center" vertical="center"/>
    </xf>
    <xf numFmtId="164" fontId="76" fillId="0" borderId="0" xfId="0" applyNumberFormat="1" applyFont="1" applyAlignment="1">
      <alignment horizontal="left" vertical="center"/>
    </xf>
    <xf numFmtId="164" fontId="71" fillId="0" borderId="0" xfId="0" applyNumberFormat="1" applyFont="1" applyAlignment="1">
      <alignment horizontal="left" vertical="center"/>
    </xf>
    <xf numFmtId="9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9" fontId="0" fillId="0" borderId="0" xfId="0" applyNumberFormat="1" applyAlignment="1" applyProtection="1">
      <alignment/>
      <protection hidden="1"/>
    </xf>
    <xf numFmtId="0" fontId="38" fillId="0" borderId="13" xfId="0" applyNumberFormat="1" applyFont="1" applyBorder="1" applyAlignment="1" applyProtection="1">
      <alignment horizontal="center" vertical="center"/>
      <protection hidden="1"/>
    </xf>
    <xf numFmtId="0" fontId="14" fillId="2" borderId="92" xfId="0" applyFont="1" applyFill="1" applyBorder="1" applyAlignment="1" applyProtection="1">
      <alignment horizontal="center" wrapText="1"/>
      <protection locked="0"/>
    </xf>
    <xf numFmtId="164" fontId="39" fillId="7" borderId="93" xfId="0" applyNumberFormat="1" applyFont="1" applyFill="1" applyBorder="1" applyAlignment="1" applyProtection="1">
      <alignment horizontal="center" vertical="center"/>
      <protection locked="0"/>
    </xf>
    <xf numFmtId="164" fontId="46" fillId="0" borderId="0" xfId="0" applyNumberFormat="1" applyFont="1" applyBorder="1" applyAlignment="1" applyProtection="1">
      <alignment horizontal="center" vertical="center"/>
      <protection hidden="1"/>
    </xf>
    <xf numFmtId="0" fontId="47" fillId="0" borderId="0" xfId="0" applyNumberFormat="1" applyFont="1" applyBorder="1" applyAlignment="1" applyProtection="1">
      <alignment horizontal="center" vertical="center"/>
      <protection hidden="1"/>
    </xf>
    <xf numFmtId="164" fontId="39" fillId="4" borderId="94" xfId="0" applyNumberFormat="1" applyFont="1" applyFill="1" applyBorder="1" applyAlignment="1" applyProtection="1">
      <alignment horizontal="center" vertical="center"/>
      <protection/>
    </xf>
    <xf numFmtId="184" fontId="3" fillId="0" borderId="0" xfId="0" applyNumberFormat="1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wrapText="1"/>
      <protection hidden="1"/>
    </xf>
    <xf numFmtId="1" fontId="0" fillId="0" borderId="0" xfId="0" applyNumberFormat="1" applyBorder="1" applyAlignment="1">
      <alignment horizontal="center" vertical="center"/>
    </xf>
    <xf numFmtId="0" fontId="4" fillId="0" borderId="0" xfId="0" applyFont="1" applyAlignment="1" applyProtection="1">
      <alignment wrapText="1"/>
      <protection hidden="1"/>
    </xf>
    <xf numFmtId="164" fontId="0" fillId="0" borderId="0" xfId="0" applyNumberFormat="1" applyAlignment="1">
      <alignment horizontal="center" vertical="center"/>
    </xf>
    <xf numFmtId="164" fontId="81" fillId="0" borderId="0" xfId="0" applyNumberFormat="1" applyFont="1" applyAlignment="1">
      <alignment horizontal="left" vertical="center"/>
    </xf>
    <xf numFmtId="10" fontId="0" fillId="0" borderId="0" xfId="0" applyNumberFormat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52" xfId="0" applyNumberFormat="1" applyBorder="1" applyAlignment="1" applyProtection="1">
      <alignment/>
      <protection hidden="1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Alignment="1" applyProtection="1">
      <alignment horizontal="center" vertical="center"/>
      <protection hidden="1"/>
    </xf>
    <xf numFmtId="177" fontId="0" fillId="0" borderId="0" xfId="0" applyNumberFormat="1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right" vertical="center"/>
      <protection hidden="1"/>
    </xf>
    <xf numFmtId="10" fontId="0" fillId="0" borderId="0" xfId="0" applyNumberForma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right" vertical="center"/>
      <protection hidden="1"/>
    </xf>
    <xf numFmtId="177" fontId="3" fillId="0" borderId="0" xfId="0" applyNumberFormat="1" applyFont="1" applyFill="1" applyBorder="1" applyAlignment="1" applyProtection="1">
      <alignment horizontal="center" vertical="center"/>
      <protection hidden="1"/>
    </xf>
    <xf numFmtId="1" fontId="3" fillId="0" borderId="0" xfId="0" applyNumberFormat="1" applyFont="1" applyFill="1" applyBorder="1" applyAlignment="1" applyProtection="1">
      <alignment horizontal="center" vertical="center"/>
      <protection hidden="1"/>
    </xf>
    <xf numFmtId="177" fontId="0" fillId="0" borderId="0" xfId="0" applyNumberFormat="1" applyFont="1" applyFill="1" applyBorder="1" applyAlignment="1" applyProtection="1">
      <alignment horizontal="center"/>
      <protection hidden="1" locked="0"/>
    </xf>
    <xf numFmtId="10" fontId="0" fillId="0" borderId="0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center"/>
      <protection hidden="1"/>
    </xf>
    <xf numFmtId="179" fontId="0" fillId="0" borderId="0" xfId="0" applyNumberFormat="1" applyFont="1" applyFill="1" applyBorder="1" applyAlignment="1" applyProtection="1">
      <alignment horizontal="center"/>
      <protection hidden="1" locked="0"/>
    </xf>
    <xf numFmtId="0" fontId="6" fillId="0" borderId="0" xfId="0" applyFont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/>
      <protection hidden="1" locked="0"/>
    </xf>
    <xf numFmtId="177" fontId="4" fillId="0" borderId="0" xfId="0" applyNumberFormat="1" applyFont="1" applyFill="1" applyBorder="1" applyAlignment="1" applyProtection="1">
      <alignment horizontal="center"/>
      <protection hidden="1"/>
    </xf>
    <xf numFmtId="177" fontId="3" fillId="0" borderId="0" xfId="0" applyNumberFormat="1" applyFont="1" applyFill="1" applyBorder="1" applyAlignment="1" applyProtection="1">
      <alignment horizontal="center"/>
      <protection hidden="1"/>
    </xf>
    <xf numFmtId="10" fontId="3" fillId="0" borderId="0" xfId="0" applyNumberFormat="1" applyFont="1" applyFill="1" applyBorder="1" applyAlignment="1" applyProtection="1">
      <alignment horizontal="center"/>
      <protection hidden="1"/>
    </xf>
    <xf numFmtId="177" fontId="0" fillId="0" borderId="0" xfId="17" applyNumberFormat="1" applyFont="1" applyFill="1" applyBorder="1" applyAlignment="1" applyProtection="1">
      <alignment horizontal="center"/>
      <protection hidden="1"/>
    </xf>
    <xf numFmtId="10" fontId="0" fillId="0" borderId="0" xfId="17" applyNumberFormat="1" applyFont="1" applyFill="1" applyBorder="1" applyAlignment="1" applyProtection="1">
      <alignment horizontal="center"/>
      <protection hidden="1"/>
    </xf>
    <xf numFmtId="0" fontId="10" fillId="0" borderId="95" xfId="0" applyFont="1" applyFill="1" applyBorder="1" applyAlignment="1" applyProtection="1">
      <alignment horizontal="center" vertical="center"/>
      <protection hidden="1"/>
    </xf>
    <xf numFmtId="0" fontId="38" fillId="0" borderId="96" xfId="0" applyNumberFormat="1" applyFont="1" applyBorder="1" applyAlignment="1" applyProtection="1">
      <alignment horizontal="center" vertical="center"/>
      <protection hidden="1"/>
    </xf>
    <xf numFmtId="0" fontId="44" fillId="3" borderId="97" xfId="0" applyNumberFormat="1" applyFont="1" applyFill="1" applyBorder="1" applyAlignment="1" applyProtection="1">
      <alignment horizontal="center" vertical="center"/>
      <protection hidden="1"/>
    </xf>
    <xf numFmtId="0" fontId="33" fillId="3" borderId="14" xfId="0" applyFont="1" applyFill="1" applyBorder="1" applyAlignment="1" applyProtection="1">
      <alignment horizontal="center" vertical="center"/>
      <protection hidden="1"/>
    </xf>
    <xf numFmtId="0" fontId="39" fillId="5" borderId="98" xfId="0" applyFont="1" applyFill="1" applyBorder="1" applyAlignment="1" applyProtection="1">
      <alignment horizontal="center" vertical="center"/>
      <protection hidden="1"/>
    </xf>
    <xf numFmtId="0" fontId="39" fillId="5" borderId="94" xfId="0" applyFont="1" applyFill="1" applyBorder="1" applyAlignment="1" applyProtection="1">
      <alignment horizontal="center" vertical="center"/>
      <protection hidden="1"/>
    </xf>
    <xf numFmtId="177" fontId="39" fillId="5" borderId="99" xfId="0" applyNumberFormat="1" applyFont="1" applyFill="1" applyBorder="1" applyAlignment="1" applyProtection="1">
      <alignment horizontal="center" vertical="center"/>
      <protection hidden="1"/>
    </xf>
    <xf numFmtId="177" fontId="39" fillId="5" borderId="100" xfId="0" applyNumberFormat="1" applyFont="1" applyFill="1" applyBorder="1" applyAlignment="1" applyProtection="1">
      <alignment horizontal="center" vertical="center"/>
      <protection hidden="1"/>
    </xf>
    <xf numFmtId="177" fontId="38" fillId="5" borderId="99" xfId="0" applyNumberFormat="1" applyFont="1" applyFill="1" applyBorder="1" applyAlignment="1" applyProtection="1">
      <alignment horizontal="center" vertical="center"/>
      <protection hidden="1"/>
    </xf>
    <xf numFmtId="177" fontId="38" fillId="5" borderId="100" xfId="0" applyNumberFormat="1" applyFont="1" applyFill="1" applyBorder="1" applyAlignment="1" applyProtection="1">
      <alignment horizontal="center" vertical="center"/>
      <protection hidden="1"/>
    </xf>
    <xf numFmtId="0" fontId="37" fillId="10" borderId="101" xfId="0" applyNumberFormat="1" applyFont="1" applyFill="1" applyBorder="1" applyAlignment="1" applyProtection="1">
      <alignment horizontal="center" vertical="center"/>
      <protection hidden="1" locked="0"/>
    </xf>
    <xf numFmtId="0" fontId="39" fillId="0" borderId="22" xfId="0" applyFont="1" applyBorder="1" applyAlignment="1" applyProtection="1">
      <alignment horizontal="center" vertical="center"/>
      <protection hidden="1" locked="0"/>
    </xf>
    <xf numFmtId="0" fontId="39" fillId="0" borderId="94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/>
      <protection/>
    </xf>
    <xf numFmtId="164" fontId="43" fillId="4" borderId="102" xfId="0" applyNumberFormat="1" applyFont="1" applyFill="1" applyBorder="1" applyAlignment="1" applyProtection="1">
      <alignment horizontal="center" vertical="center"/>
      <protection/>
    </xf>
    <xf numFmtId="0" fontId="38" fillId="0" borderId="5" xfId="0" applyFont="1" applyFill="1" applyBorder="1" applyAlignment="1" applyProtection="1">
      <alignment horizontal="right" vertical="center"/>
      <protection hidden="1"/>
    </xf>
    <xf numFmtId="0" fontId="38" fillId="3" borderId="103" xfId="0" applyFont="1" applyFill="1" applyBorder="1" applyAlignment="1" applyProtection="1">
      <alignment horizontal="left" vertical="center" indent="7"/>
      <protection/>
    </xf>
    <xf numFmtId="164" fontId="39" fillId="4" borderId="45" xfId="0" applyNumberFormat="1" applyFont="1" applyFill="1" applyBorder="1" applyAlignment="1" applyProtection="1">
      <alignment horizontal="center" vertical="center"/>
      <protection hidden="1"/>
    </xf>
    <xf numFmtId="2" fontId="39" fillId="2" borderId="23" xfId="0" applyNumberFormat="1" applyFont="1" applyFill="1" applyBorder="1" applyAlignment="1" applyProtection="1">
      <alignment horizontal="center" vertical="center"/>
      <protection locked="0"/>
    </xf>
    <xf numFmtId="2" fontId="39" fillId="2" borderId="19" xfId="0" applyNumberFormat="1" applyFont="1" applyFill="1" applyBorder="1" applyAlignment="1" applyProtection="1">
      <alignment horizontal="center" vertical="center"/>
      <protection locked="0"/>
    </xf>
    <xf numFmtId="164" fontId="39" fillId="2" borderId="38" xfId="0" applyNumberFormat="1" applyFont="1" applyFill="1" applyBorder="1" applyAlignment="1" applyProtection="1">
      <alignment horizontal="center" vertical="center"/>
      <protection locked="0"/>
    </xf>
    <xf numFmtId="164" fontId="39" fillId="2" borderId="104" xfId="0" applyNumberFormat="1" applyFont="1" applyFill="1" applyBorder="1" applyAlignment="1" applyProtection="1">
      <alignment horizontal="center" vertical="center"/>
      <protection locked="0"/>
    </xf>
    <xf numFmtId="0" fontId="38" fillId="0" borderId="105" xfId="0" applyNumberFormat="1" applyFont="1" applyFill="1" applyBorder="1" applyAlignment="1" applyProtection="1">
      <alignment/>
      <protection locked="0"/>
    </xf>
    <xf numFmtId="0" fontId="38" fillId="0" borderId="106" xfId="0" applyNumberFormat="1" applyFont="1" applyFill="1" applyBorder="1" applyAlignment="1" applyProtection="1">
      <alignment/>
      <protection locked="0"/>
    </xf>
    <xf numFmtId="0" fontId="38" fillId="0" borderId="107" xfId="0" applyNumberFormat="1" applyFont="1" applyBorder="1" applyAlignment="1" applyProtection="1">
      <alignment/>
      <protection locked="0"/>
    </xf>
    <xf numFmtId="0" fontId="38" fillId="4" borderId="108" xfId="0" applyNumberFormat="1" applyFont="1" applyFill="1" applyBorder="1" applyAlignment="1" applyProtection="1">
      <alignment horizontal="left" vertical="center"/>
      <protection/>
    </xf>
    <xf numFmtId="0" fontId="0" fillId="0" borderId="5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164" fontId="37" fillId="3" borderId="109" xfId="0" applyNumberFormat="1" applyFont="1" applyFill="1" applyBorder="1" applyAlignment="1" applyProtection="1">
      <alignment horizontal="center" vertical="center"/>
      <protection hidden="1"/>
    </xf>
    <xf numFmtId="164" fontId="39" fillId="4" borderId="110" xfId="0" applyNumberFormat="1" applyFont="1" applyFill="1" applyBorder="1" applyAlignment="1" applyProtection="1">
      <alignment horizontal="center" vertical="center"/>
      <protection hidden="1"/>
    </xf>
    <xf numFmtId="164" fontId="39" fillId="4" borderId="111" xfId="0" applyNumberFormat="1" applyFont="1" applyFill="1" applyBorder="1" applyAlignment="1" applyProtection="1">
      <alignment horizontal="center" vertical="center"/>
      <protection hidden="1"/>
    </xf>
    <xf numFmtId="164" fontId="39" fillId="4" borderId="112" xfId="0" applyNumberFormat="1" applyFont="1" applyFill="1" applyBorder="1" applyAlignment="1" applyProtection="1">
      <alignment horizontal="center" vertical="center"/>
      <protection hidden="1"/>
    </xf>
    <xf numFmtId="0" fontId="39" fillId="3" borderId="113" xfId="0" applyFont="1" applyFill="1" applyBorder="1" applyAlignment="1" applyProtection="1">
      <alignment horizontal="left" vertical="center" indent="7"/>
      <protection hidden="1"/>
    </xf>
    <xf numFmtId="164" fontId="39" fillId="4" borderId="114" xfId="0" applyNumberFormat="1" applyFont="1" applyFill="1" applyBorder="1" applyAlignment="1" applyProtection="1">
      <alignment horizontal="center" vertical="center"/>
      <protection hidden="1"/>
    </xf>
    <xf numFmtId="0" fontId="39" fillId="3" borderId="113" xfId="0" applyFont="1" applyFill="1" applyBorder="1" applyAlignment="1" applyProtection="1">
      <alignment horizontal="left" indent="7"/>
      <protection hidden="1"/>
    </xf>
    <xf numFmtId="164" fontId="39" fillId="7" borderId="20" xfId="0" applyNumberFormat="1" applyFont="1" applyFill="1" applyBorder="1" applyAlignment="1" applyProtection="1">
      <alignment horizontal="center" vertical="center"/>
      <protection locked="0"/>
    </xf>
    <xf numFmtId="164" fontId="36" fillId="0" borderId="0" xfId="0" applyNumberFormat="1" applyFont="1" applyAlignment="1" applyProtection="1">
      <alignment/>
      <protection hidden="1"/>
    </xf>
    <xf numFmtId="6" fontId="36" fillId="0" borderId="0" xfId="0" applyNumberFormat="1" applyFont="1" applyAlignment="1" applyProtection="1">
      <alignment/>
      <protection hidden="1"/>
    </xf>
    <xf numFmtId="0" fontId="36" fillId="0" borderId="0" xfId="0" applyNumberFormat="1" applyFont="1" applyAlignment="1" applyProtection="1">
      <alignment/>
      <protection hidden="1"/>
    </xf>
    <xf numFmtId="6" fontId="43" fillId="4" borderId="115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1" fontId="3" fillId="0" borderId="0" xfId="0" applyNumberFormat="1" applyFont="1" applyFill="1" applyBorder="1" applyAlignment="1" applyProtection="1">
      <alignment horizontal="center" vertical="center"/>
      <protection hidden="1" locked="0"/>
    </xf>
    <xf numFmtId="184" fontId="0" fillId="0" borderId="0" xfId="0" applyNumberFormat="1" applyAlignment="1">
      <alignment/>
    </xf>
    <xf numFmtId="164" fontId="39" fillId="7" borderId="46" xfId="0" applyNumberFormat="1" applyFont="1" applyFill="1" applyBorder="1" applyAlignment="1" applyProtection="1">
      <alignment horizontal="center" vertical="center"/>
      <protection locked="0"/>
    </xf>
    <xf numFmtId="9" fontId="39" fillId="2" borderId="94" xfId="0" applyNumberFormat="1" applyFont="1" applyFill="1" applyBorder="1" applyAlignment="1" applyProtection="1">
      <alignment horizontal="center" vertical="center"/>
      <protection locked="0"/>
    </xf>
    <xf numFmtId="164" fontId="37" fillId="3" borderId="116" xfId="0" applyNumberFormat="1" applyFont="1" applyFill="1" applyBorder="1" applyAlignment="1" applyProtection="1">
      <alignment horizontal="center" vertical="center"/>
      <protection/>
    </xf>
    <xf numFmtId="164" fontId="39" fillId="4" borderId="117" xfId="0" applyNumberFormat="1" applyFont="1" applyFill="1" applyBorder="1" applyAlignment="1" applyProtection="1" quotePrefix="1">
      <alignment horizontal="center" vertical="center"/>
      <protection/>
    </xf>
    <xf numFmtId="0" fontId="12" fillId="3" borderId="118" xfId="0" applyFont="1" applyFill="1" applyBorder="1" applyAlignment="1" applyProtection="1">
      <alignment horizontal="center" vertical="center"/>
      <protection locked="0"/>
    </xf>
    <xf numFmtId="9" fontId="0" fillId="0" borderId="0" xfId="0" applyNumberFormat="1" applyBorder="1" applyAlignment="1" applyProtection="1">
      <alignment/>
      <protection hidden="1"/>
    </xf>
    <xf numFmtId="0" fontId="52" fillId="0" borderId="119" xfId="0" applyFont="1" applyBorder="1" applyAlignment="1" applyProtection="1">
      <alignment horizontal="center" wrapText="1"/>
      <protection locked="0"/>
    </xf>
    <xf numFmtId="165" fontId="3" fillId="0" borderId="119" xfId="0" applyNumberFormat="1" applyFont="1" applyFill="1" applyBorder="1" applyAlignment="1" applyProtection="1">
      <alignment horizontal="center" vertical="center" wrapText="1"/>
      <protection locked="0"/>
    </xf>
    <xf numFmtId="184" fontId="3" fillId="0" borderId="77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0" xfId="0" applyBorder="1" applyAlignment="1">
      <alignment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1" fontId="0" fillId="0" borderId="0" xfId="0" applyNumberFormat="1" applyFont="1" applyFill="1" applyBorder="1" applyAlignment="1" applyProtection="1">
      <alignment horizontal="center" vertical="center"/>
      <protection hidden="1" locked="0"/>
    </xf>
    <xf numFmtId="164" fontId="12" fillId="0" borderId="0" xfId="0" applyNumberFormat="1" applyFont="1" applyAlignment="1" applyProtection="1">
      <alignment/>
      <protection hidden="1"/>
    </xf>
    <xf numFmtId="3" fontId="0" fillId="0" borderId="0" xfId="0" applyNumberFormat="1" applyAlignment="1" applyProtection="1">
      <alignment horizontal="left"/>
      <protection hidden="1"/>
    </xf>
    <xf numFmtId="0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164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right" vertical="center"/>
      <protection hidden="1"/>
    </xf>
    <xf numFmtId="4" fontId="0" fillId="0" borderId="0" xfId="0" applyNumberFormat="1" applyAlignment="1" applyProtection="1">
      <alignment/>
      <protection hidden="1"/>
    </xf>
    <xf numFmtId="8" fontId="3" fillId="0" borderId="0" xfId="0" applyNumberFormat="1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3" fontId="0" fillId="0" borderId="0" xfId="0" applyNumberFormat="1" applyBorder="1" applyAlignment="1" applyProtection="1">
      <alignment horizontal="center" vertical="center"/>
      <protection hidden="1"/>
    </xf>
    <xf numFmtId="3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9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3" fontId="0" fillId="0" borderId="0" xfId="0" applyNumberFormat="1" applyAlignment="1" applyProtection="1">
      <alignment horizontal="center" vertical="center"/>
      <protection hidden="1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84" fontId="3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/>
      <protection hidden="1"/>
    </xf>
    <xf numFmtId="9" fontId="3" fillId="0" borderId="0" xfId="0" applyNumberFormat="1" applyFont="1" applyFill="1" applyBorder="1" applyAlignment="1" applyProtection="1">
      <alignment horizontal="center" vertical="center"/>
      <protection hidden="1" locked="0"/>
    </xf>
    <xf numFmtId="179" fontId="3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Font="1" applyBorder="1" applyAlignment="1" applyProtection="1">
      <alignment horizontal="center" vertical="center"/>
      <protection hidden="1"/>
    </xf>
    <xf numFmtId="9" fontId="39" fillId="2" borderId="17" xfId="21" applyNumberFormat="1" applyFont="1" applyFill="1" applyBorder="1" applyAlignment="1" applyProtection="1">
      <alignment horizontal="center" vertical="center"/>
      <protection locked="0"/>
    </xf>
    <xf numFmtId="9" fontId="39" fillId="2" borderId="16" xfId="21" applyNumberFormat="1" applyFont="1" applyFill="1" applyBorder="1" applyAlignment="1" applyProtection="1">
      <alignment horizontal="center" vertical="center"/>
      <protection locked="0"/>
    </xf>
    <xf numFmtId="164" fontId="39" fillId="2" borderId="16" xfId="21" applyNumberFormat="1" applyFont="1" applyFill="1" applyBorder="1" applyAlignment="1" applyProtection="1">
      <alignment horizontal="center" vertical="center"/>
      <protection locked="0"/>
    </xf>
    <xf numFmtId="9" fontId="39" fillId="2" borderId="19" xfId="21" applyNumberFormat="1" applyFont="1" applyFill="1" applyBorder="1" applyAlignment="1" applyProtection="1">
      <alignment horizontal="center" vertical="center"/>
      <protection locked="0"/>
    </xf>
    <xf numFmtId="164" fontId="39" fillId="2" borderId="19" xfId="21" applyNumberFormat="1" applyFont="1" applyFill="1" applyBorder="1" applyAlignment="1" applyProtection="1">
      <alignment horizontal="center" vertical="center"/>
      <protection locked="0"/>
    </xf>
    <xf numFmtId="164" fontId="39" fillId="2" borderId="23" xfId="21" applyNumberFormat="1" applyFont="1" applyFill="1" applyBorder="1" applyAlignment="1" applyProtection="1">
      <alignment horizontal="center" vertical="center"/>
      <protection locked="0"/>
    </xf>
    <xf numFmtId="164" fontId="39" fillId="2" borderId="5" xfId="21" applyNumberFormat="1" applyFont="1" applyFill="1" applyBorder="1" applyAlignment="1" applyProtection="1">
      <alignment horizontal="center" vertical="center"/>
      <protection locked="0"/>
    </xf>
    <xf numFmtId="164" fontId="39" fillId="2" borderId="48" xfId="21" applyNumberFormat="1" applyFont="1" applyFill="1" applyBorder="1" applyAlignment="1" applyProtection="1">
      <alignment horizontal="center" vertical="center"/>
      <protection locked="0"/>
    </xf>
    <xf numFmtId="164" fontId="39" fillId="2" borderId="29" xfId="21" applyNumberFormat="1" applyFont="1" applyFill="1" applyBorder="1" applyAlignment="1" applyProtection="1">
      <alignment horizontal="center" vertical="center"/>
      <protection locked="0"/>
    </xf>
    <xf numFmtId="164" fontId="39" fillId="2" borderId="38" xfId="21" applyNumberFormat="1" applyFont="1" applyFill="1" applyBorder="1" applyAlignment="1" applyProtection="1">
      <alignment horizontal="center" vertical="center"/>
      <protection locked="0"/>
    </xf>
    <xf numFmtId="164" fontId="35" fillId="0" borderId="0" xfId="0" applyNumberFormat="1" applyFont="1" applyAlignment="1" applyProtection="1">
      <alignment/>
      <protection hidden="1"/>
    </xf>
    <xf numFmtId="164" fontId="42" fillId="0" borderId="0" xfId="0" applyNumberFormat="1" applyFont="1" applyAlignment="1" applyProtection="1">
      <alignment/>
      <protection hidden="1"/>
    </xf>
    <xf numFmtId="164" fontId="39" fillId="4" borderId="38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 vertical="center"/>
    </xf>
    <xf numFmtId="3" fontId="3" fillId="0" borderId="0" xfId="0" applyNumberFormat="1" applyFont="1" applyAlignment="1" applyProtection="1">
      <alignment horizontal="left" vertical="center"/>
      <protection locked="0"/>
    </xf>
    <xf numFmtId="3" fontId="10" fillId="0" borderId="0" xfId="0" applyNumberFormat="1" applyFont="1" applyAlignment="1" applyProtection="1">
      <alignment/>
      <protection locked="0"/>
    </xf>
    <xf numFmtId="8" fontId="0" fillId="0" borderId="0" xfId="0" applyNumberFormat="1" applyAlignment="1" applyProtection="1">
      <alignment horizontal="left"/>
      <protection hidden="1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>
      <alignment horizontal="left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 applyProtection="1">
      <alignment horizontal="left" vertical="center"/>
      <protection hidden="1"/>
    </xf>
    <xf numFmtId="164" fontId="15" fillId="0" borderId="0" xfId="0" applyNumberFormat="1" applyFont="1" applyAlignment="1">
      <alignment horizontal="left" vertical="center" indent="1"/>
    </xf>
    <xf numFmtId="1" fontId="36" fillId="0" borderId="0" xfId="0" applyNumberFormat="1" applyFont="1" applyAlignment="1" applyProtection="1">
      <alignment/>
      <protection locked="0"/>
    </xf>
    <xf numFmtId="164" fontId="36" fillId="9" borderId="0" xfId="0" applyNumberFormat="1" applyFont="1" applyFill="1" applyAlignment="1" applyProtection="1">
      <alignment/>
      <protection hidden="1"/>
    </xf>
    <xf numFmtId="6" fontId="36" fillId="9" borderId="0" xfId="0" applyNumberFormat="1" applyFont="1" applyFill="1" applyAlignment="1" applyProtection="1">
      <alignment/>
      <protection hidden="1"/>
    </xf>
    <xf numFmtId="0" fontId="36" fillId="9" borderId="0" xfId="0" applyNumberFormat="1" applyFont="1" applyFill="1" applyAlignment="1" applyProtection="1">
      <alignment/>
      <protection hidden="1"/>
    </xf>
    <xf numFmtId="0" fontId="36" fillId="9" borderId="0" xfId="0" applyNumberFormat="1" applyFont="1" applyFill="1" applyAlignment="1" applyProtection="1">
      <alignment/>
      <protection locked="0"/>
    </xf>
    <xf numFmtId="164" fontId="42" fillId="9" borderId="0" xfId="0" applyNumberFormat="1" applyFont="1" applyFill="1" applyAlignment="1" applyProtection="1">
      <alignment/>
      <protection hidden="1"/>
    </xf>
    <xf numFmtId="6" fontId="0" fillId="0" borderId="0" xfId="0" applyNumberFormat="1" applyAlignment="1">
      <alignment/>
    </xf>
    <xf numFmtId="165" fontId="38" fillId="0" borderId="121" xfId="0" applyNumberFormat="1" applyFont="1" applyBorder="1" applyAlignment="1">
      <alignment horizontal="center" vertical="center"/>
    </xf>
    <xf numFmtId="164" fontId="36" fillId="9" borderId="0" xfId="0" applyNumberFormat="1" applyFont="1" applyFill="1" applyAlignment="1" applyProtection="1">
      <alignment horizontal="center" vertical="center"/>
      <protection hidden="1"/>
    </xf>
    <xf numFmtId="1" fontId="36" fillId="9" borderId="0" xfId="0" applyNumberFormat="1" applyFont="1" applyFill="1" applyAlignment="1" applyProtection="1">
      <alignment horizontal="center" vertical="center"/>
      <protection hidden="1"/>
    </xf>
    <xf numFmtId="3" fontId="36" fillId="0" borderId="0" xfId="0" applyNumberFormat="1" applyFont="1" applyFill="1" applyAlignment="1" applyProtection="1">
      <alignment/>
      <protection hidden="1"/>
    </xf>
    <xf numFmtId="191" fontId="36" fillId="0" borderId="0" xfId="0" applyNumberFormat="1" applyFont="1" applyAlignment="1" applyProtection="1">
      <alignment/>
      <protection hidden="1"/>
    </xf>
    <xf numFmtId="164" fontId="0" fillId="0" borderId="0" xfId="0" applyNumberFormat="1" applyAlignment="1">
      <alignment/>
    </xf>
    <xf numFmtId="1" fontId="36" fillId="9" borderId="0" xfId="0" applyNumberFormat="1" applyFont="1" applyFill="1" applyAlignment="1" applyProtection="1">
      <alignment/>
      <protection hidden="1"/>
    </xf>
    <xf numFmtId="164" fontId="0" fillId="0" borderId="0" xfId="0" applyNumberFormat="1" applyAlignment="1" applyProtection="1">
      <alignment/>
      <protection locked="0"/>
    </xf>
    <xf numFmtId="3" fontId="36" fillId="9" borderId="0" xfId="0" applyNumberFormat="1" applyFont="1" applyFill="1" applyAlignment="1" applyProtection="1">
      <alignment/>
      <protection hidden="1"/>
    </xf>
    <xf numFmtId="164" fontId="39" fillId="2" borderId="93" xfId="0" applyNumberFormat="1" applyFont="1" applyFill="1" applyBorder="1" applyAlignment="1" applyProtection="1">
      <alignment horizontal="center" vertical="center"/>
      <protection locked="0"/>
    </xf>
    <xf numFmtId="164" fontId="36" fillId="9" borderId="0" xfId="21" applyNumberFormat="1" applyFont="1" applyFill="1" applyAlignment="1">
      <alignment/>
      <protection/>
    </xf>
    <xf numFmtId="164" fontId="39" fillId="2" borderId="122" xfId="21" applyNumberFormat="1" applyFont="1" applyFill="1" applyBorder="1" applyAlignment="1" applyProtection="1">
      <alignment horizontal="center" vertical="center"/>
      <protection locked="0"/>
    </xf>
    <xf numFmtId="164" fontId="0" fillId="9" borderId="0" xfId="0" applyNumberFormat="1" applyFill="1" applyAlignment="1">
      <alignment/>
    </xf>
    <xf numFmtId="164" fontId="39" fillId="4" borderId="123" xfId="0" applyNumberFormat="1" applyFont="1" applyFill="1" applyBorder="1" applyAlignment="1" applyProtection="1">
      <alignment horizontal="center" vertical="center"/>
      <protection hidden="1"/>
    </xf>
    <xf numFmtId="164" fontId="39" fillId="4" borderId="124" xfId="0" applyNumberFormat="1" applyFont="1" applyFill="1" applyBorder="1" applyAlignment="1" applyProtection="1">
      <alignment horizontal="center" vertical="center"/>
      <protection hidden="1"/>
    </xf>
    <xf numFmtId="164" fontId="37" fillId="3" borderId="124" xfId="0" applyNumberFormat="1" applyFont="1" applyFill="1" applyBorder="1" applyAlignment="1" applyProtection="1">
      <alignment horizontal="center" vertical="center"/>
      <protection hidden="1"/>
    </xf>
    <xf numFmtId="164" fontId="39" fillId="4" borderId="125" xfId="0" applyNumberFormat="1" applyFont="1" applyFill="1" applyBorder="1" applyAlignment="1" applyProtection="1">
      <alignment horizontal="center" vertical="center"/>
      <protection hidden="1"/>
    </xf>
    <xf numFmtId="164" fontId="39" fillId="2" borderId="125" xfId="0" applyNumberFormat="1" applyFont="1" applyFill="1" applyBorder="1" applyAlignment="1" applyProtection="1">
      <alignment horizontal="center" vertical="center"/>
      <protection locked="0"/>
    </xf>
    <xf numFmtId="164" fontId="39" fillId="2" borderId="110" xfId="0" applyNumberFormat="1" applyFont="1" applyFill="1" applyBorder="1" applyAlignment="1" applyProtection="1">
      <alignment horizontal="center" vertical="center"/>
      <protection locked="0"/>
    </xf>
    <xf numFmtId="164" fontId="39" fillId="2" borderId="126" xfId="0" applyNumberFormat="1" applyFont="1" applyFill="1" applyBorder="1" applyAlignment="1" applyProtection="1">
      <alignment horizontal="center" vertical="center"/>
      <protection locked="0"/>
    </xf>
    <xf numFmtId="164" fontId="39" fillId="2" borderId="127" xfId="0" applyNumberFormat="1" applyFont="1" applyFill="1" applyBorder="1" applyAlignment="1" applyProtection="1">
      <alignment horizontal="center" vertical="center"/>
      <protection locked="0"/>
    </xf>
    <xf numFmtId="164" fontId="39" fillId="4" borderId="128" xfId="0" applyNumberFormat="1" applyFont="1" applyFill="1" applyBorder="1" applyAlignment="1" applyProtection="1">
      <alignment horizontal="center" vertical="center"/>
      <protection hidden="1"/>
    </xf>
    <xf numFmtId="164" fontId="43" fillId="4" borderId="129" xfId="0" applyNumberFormat="1" applyFont="1" applyFill="1" applyBorder="1" applyAlignment="1" applyProtection="1">
      <alignment horizontal="center" vertical="center"/>
      <protection hidden="1"/>
    </xf>
    <xf numFmtId="0" fontId="0" fillId="0" borderId="130" xfId="0" applyBorder="1" applyAlignment="1" applyProtection="1">
      <alignment horizontal="center" vertical="center"/>
      <protection hidden="1"/>
    </xf>
    <xf numFmtId="164" fontId="39" fillId="2" borderId="131" xfId="0" applyNumberFormat="1" applyFont="1" applyFill="1" applyBorder="1" applyAlignment="1" applyProtection="1">
      <alignment horizontal="center" vertical="center"/>
      <protection locked="0"/>
    </xf>
    <xf numFmtId="164" fontId="39" fillId="2" borderId="132" xfId="0" applyNumberFormat="1" applyFont="1" applyFill="1" applyBorder="1" applyAlignment="1" applyProtection="1">
      <alignment horizontal="center" vertical="center"/>
      <protection locked="0"/>
    </xf>
    <xf numFmtId="164" fontId="39" fillId="2" borderId="133" xfId="0" applyNumberFormat="1" applyFont="1" applyFill="1" applyBorder="1" applyAlignment="1" applyProtection="1">
      <alignment horizontal="center" vertical="center"/>
      <protection locked="0"/>
    </xf>
    <xf numFmtId="0" fontId="39" fillId="3" borderId="134" xfId="0" applyFont="1" applyFill="1" applyBorder="1" applyAlignment="1" applyProtection="1">
      <alignment/>
      <protection hidden="1"/>
    </xf>
    <xf numFmtId="6" fontId="39" fillId="4" borderId="135" xfId="0" applyNumberFormat="1" applyFont="1" applyFill="1" applyBorder="1" applyAlignment="1" applyProtection="1">
      <alignment horizontal="center" vertical="center"/>
      <protection hidden="1"/>
    </xf>
    <xf numFmtId="164" fontId="39" fillId="2" borderId="135" xfId="0" applyNumberFormat="1" applyFont="1" applyFill="1" applyBorder="1" applyAlignment="1" applyProtection="1">
      <alignment horizontal="center" vertical="center"/>
      <protection locked="0"/>
    </xf>
    <xf numFmtId="6" fontId="39" fillId="4" borderId="136" xfId="0" applyNumberFormat="1" applyFont="1" applyFill="1" applyBorder="1" applyAlignment="1" applyProtection="1">
      <alignment horizontal="center" vertical="center"/>
      <protection hidden="1"/>
    </xf>
    <xf numFmtId="164" fontId="39" fillId="2" borderId="137" xfId="0" applyNumberFormat="1" applyFont="1" applyFill="1" applyBorder="1" applyAlignment="1" applyProtection="1">
      <alignment horizontal="center" vertical="center"/>
      <protection locked="0"/>
    </xf>
    <xf numFmtId="164" fontId="39" fillId="2" borderId="138" xfId="0" applyNumberFormat="1" applyFont="1" applyFill="1" applyBorder="1" applyAlignment="1" applyProtection="1">
      <alignment horizontal="center" vertical="center"/>
      <protection locked="0"/>
    </xf>
    <xf numFmtId="6" fontId="39" fillId="4" borderId="139" xfId="0" applyNumberFormat="1" applyFont="1" applyFill="1" applyBorder="1" applyAlignment="1" applyProtection="1">
      <alignment horizontal="center" vertical="center"/>
      <protection hidden="1"/>
    </xf>
    <xf numFmtId="6" fontId="43" fillId="4" borderId="140" xfId="0" applyNumberFormat="1" applyFont="1" applyFill="1" applyBorder="1" applyAlignment="1" applyProtection="1">
      <alignment horizontal="center" vertical="center"/>
      <protection hidden="1"/>
    </xf>
    <xf numFmtId="165" fontId="38" fillId="0" borderId="141" xfId="0" applyNumberFormat="1" applyFont="1" applyBorder="1" applyAlignment="1">
      <alignment horizontal="center" vertical="center"/>
    </xf>
    <xf numFmtId="191" fontId="36" fillId="0" borderId="0" xfId="0" applyNumberFormat="1" applyFont="1" applyFill="1" applyAlignment="1" applyProtection="1">
      <alignment/>
      <protection hidden="1"/>
    </xf>
    <xf numFmtId="184" fontId="0" fillId="0" borderId="0" xfId="0" applyNumberFormat="1" applyAlignment="1">
      <alignment horizontal="center"/>
    </xf>
    <xf numFmtId="0" fontId="14" fillId="2" borderId="58" xfId="0" applyFont="1" applyFill="1" applyBorder="1" applyAlignment="1" applyProtection="1">
      <alignment horizontal="center" wrapText="1"/>
      <protection locked="0"/>
    </xf>
    <xf numFmtId="4" fontId="0" fillId="0" borderId="0" xfId="0" applyNumberFormat="1" applyAlignment="1">
      <alignment horizontal="center" vertical="center"/>
    </xf>
    <xf numFmtId="165" fontId="0" fillId="0" borderId="0" xfId="0" applyNumberFormat="1" applyBorder="1" applyAlignment="1" applyProtection="1">
      <alignment/>
      <protection hidden="1"/>
    </xf>
    <xf numFmtId="165" fontId="0" fillId="0" borderId="0" xfId="0" applyNumberFormat="1" applyBorder="1" applyAlignment="1">
      <alignment horizontal="center" vertical="center"/>
    </xf>
    <xf numFmtId="0" fontId="0" fillId="0" borderId="142" xfId="0" applyBorder="1" applyAlignment="1">
      <alignment horizontal="center" vertical="center" wrapText="1"/>
    </xf>
    <xf numFmtId="0" fontId="38" fillId="0" borderId="118" xfId="21" applyNumberFormat="1" applyFont="1" applyFill="1" applyBorder="1" applyAlignment="1" applyProtection="1">
      <alignment horizontal="left" vertical="center"/>
      <protection locked="0"/>
    </xf>
    <xf numFmtId="0" fontId="38" fillId="0" borderId="29" xfId="0" applyFont="1" applyFill="1" applyBorder="1" applyAlignment="1" applyProtection="1">
      <alignment horizontal="left" vertical="center"/>
      <protection locked="0"/>
    </xf>
    <xf numFmtId="0" fontId="34" fillId="10" borderId="143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44" xfId="0" applyBorder="1" applyAlignment="1">
      <alignment horizontal="center" vertical="center" wrapText="1"/>
    </xf>
    <xf numFmtId="0" fontId="33" fillId="0" borderId="49" xfId="0" applyFont="1" applyBorder="1" applyAlignment="1" applyProtection="1">
      <alignment horizontal="left" vertical="center"/>
      <protection locked="0"/>
    </xf>
    <xf numFmtId="0" fontId="38" fillId="0" borderId="52" xfId="0" applyFont="1" applyFill="1" applyBorder="1" applyAlignment="1" applyProtection="1">
      <alignment horizontal="right" vertical="center"/>
      <protection/>
    </xf>
    <xf numFmtId="0" fontId="27" fillId="0" borderId="0" xfId="0" applyFont="1" applyBorder="1" applyAlignment="1">
      <alignment horizontal="right" vertical="center"/>
    </xf>
    <xf numFmtId="0" fontId="27" fillId="0" borderId="8" xfId="0" applyFont="1" applyBorder="1" applyAlignment="1">
      <alignment horizontal="right" vertical="center"/>
    </xf>
    <xf numFmtId="0" fontId="38" fillId="0" borderId="145" xfId="21" applyNumberFormat="1" applyFont="1" applyFill="1" applyBorder="1" applyAlignment="1" applyProtection="1">
      <alignment horizontal="left" vertical="center"/>
      <protection locked="0"/>
    </xf>
    <xf numFmtId="0" fontId="33" fillId="0" borderId="146" xfId="0" applyFont="1" applyBorder="1" applyAlignment="1" applyProtection="1">
      <alignment horizontal="left" vertical="center"/>
      <protection locked="0"/>
    </xf>
    <xf numFmtId="0" fontId="0" fillId="0" borderId="14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46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164" fontId="38" fillId="0" borderId="148" xfId="0" applyNumberFormat="1" applyFont="1" applyBorder="1" applyAlignment="1" applyProtection="1">
      <alignment horizontal="right" vertical="center"/>
      <protection hidden="1"/>
    </xf>
    <xf numFmtId="164" fontId="36" fillId="9" borderId="0" xfId="0" applyNumberFormat="1" applyFont="1" applyFill="1" applyAlignment="1" applyProtection="1">
      <alignment horizontal="center" vertical="center"/>
      <protection hidden="1"/>
    </xf>
    <xf numFmtId="0" fontId="0" fillId="9" borderId="0" xfId="0" applyFill="1" applyAlignment="1">
      <alignment horizontal="center" vertical="center"/>
    </xf>
    <xf numFmtId="0" fontId="38" fillId="0" borderId="145" xfId="0" applyNumberFormat="1" applyFont="1" applyFill="1" applyBorder="1" applyAlignment="1" applyProtection="1">
      <alignment horizontal="left" vertical="center"/>
      <protection locked="0"/>
    </xf>
    <xf numFmtId="0" fontId="0" fillId="0" borderId="14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0" xfId="0" applyBorder="1" applyAlignment="1">
      <alignment horizontal="center" vertical="center" wrapText="1"/>
    </xf>
    <xf numFmtId="0" fontId="0" fillId="0" borderId="151" xfId="0" applyBorder="1" applyAlignment="1">
      <alignment horizontal="center" vertical="center" wrapText="1"/>
    </xf>
    <xf numFmtId="0" fontId="0" fillId="0" borderId="152" xfId="0" applyBorder="1" applyAlignment="1">
      <alignment horizontal="center" vertical="center" wrapText="1"/>
    </xf>
    <xf numFmtId="0" fontId="38" fillId="0" borderId="146" xfId="21" applyNumberFormat="1" applyFont="1" applyFill="1" applyBorder="1" applyAlignment="1" applyProtection="1">
      <alignment horizontal="left" vertical="center"/>
      <protection locked="0"/>
    </xf>
    <xf numFmtId="0" fontId="38" fillId="0" borderId="49" xfId="21" applyNumberFormat="1" applyFont="1" applyFill="1" applyBorder="1" applyAlignment="1" applyProtection="1">
      <alignment horizontal="left" vertical="center"/>
      <protection locked="0"/>
    </xf>
    <xf numFmtId="164" fontId="38" fillId="0" borderId="148" xfId="0" applyNumberFormat="1" applyFont="1" applyFill="1" applyBorder="1" applyAlignment="1" applyProtection="1">
      <alignment horizontal="right" vertical="center"/>
      <protection hidden="1"/>
    </xf>
    <xf numFmtId="0" fontId="3" fillId="0" borderId="5" xfId="0" applyFont="1" applyBorder="1" applyAlignment="1">
      <alignment horizontal="right" vertical="center"/>
    </xf>
    <xf numFmtId="0" fontId="3" fillId="0" borderId="147" xfId="0" applyFont="1" applyBorder="1" applyAlignment="1">
      <alignment horizontal="right" vertical="center"/>
    </xf>
    <xf numFmtId="0" fontId="38" fillId="0" borderId="153" xfId="21" applyNumberFormat="1" applyFont="1" applyBorder="1" applyAlignment="1" applyProtection="1">
      <alignment/>
      <protection locked="0"/>
    </xf>
    <xf numFmtId="0" fontId="0" fillId="0" borderId="154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38" fillId="0" borderId="105" xfId="21" applyNumberFormat="1" applyFont="1" applyFill="1" applyBorder="1" applyAlignment="1" applyProtection="1">
      <alignment horizontal="left" vertical="center"/>
      <protection locked="0"/>
    </xf>
    <xf numFmtId="0" fontId="33" fillId="0" borderId="155" xfId="0" applyFont="1" applyBorder="1" applyAlignment="1" applyProtection="1">
      <alignment horizontal="left" vertical="center"/>
      <protection locked="0"/>
    </xf>
    <xf numFmtId="0" fontId="38" fillId="0" borderId="101" xfId="0" applyNumberFormat="1" applyFont="1" applyFill="1" applyBorder="1" applyAlignment="1" applyProtection="1">
      <alignment horizontal="right" vertical="center"/>
      <protection/>
    </xf>
    <xf numFmtId="0" fontId="0" fillId="0" borderId="22" xfId="0" applyBorder="1" applyAlignment="1">
      <alignment horizontal="right" vertical="center"/>
    </xf>
    <xf numFmtId="0" fontId="0" fillId="0" borderId="94" xfId="0" applyBorder="1" applyAlignment="1">
      <alignment horizontal="right" vertical="center"/>
    </xf>
    <xf numFmtId="0" fontId="45" fillId="0" borderId="15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8" xfId="0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0" fontId="38" fillId="0" borderId="158" xfId="0" applyNumberFormat="1" applyFont="1" applyFill="1" applyBorder="1" applyAlignment="1" applyProtection="1">
      <alignment horizontal="left" vertical="center"/>
      <protection/>
    </xf>
    <xf numFmtId="0" fontId="0" fillId="0" borderId="5" xfId="0" applyBorder="1" applyAlignment="1">
      <alignment horizontal="left" vertical="center"/>
    </xf>
    <xf numFmtId="0" fontId="0" fillId="0" borderId="104" xfId="0" applyBorder="1" applyAlignment="1">
      <alignment horizontal="left" vertical="center"/>
    </xf>
    <xf numFmtId="1" fontId="57" fillId="10" borderId="15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60" xfId="0" applyBorder="1" applyAlignment="1">
      <alignment horizontal="center" vertical="center" wrapText="1"/>
    </xf>
    <xf numFmtId="0" fontId="0" fillId="0" borderId="161" xfId="0" applyBorder="1" applyAlignment="1">
      <alignment horizontal="center" vertical="center" wrapText="1"/>
    </xf>
    <xf numFmtId="0" fontId="0" fillId="0" borderId="162" xfId="0" applyBorder="1" applyAlignment="1">
      <alignment horizontal="center" vertical="center" wrapText="1"/>
    </xf>
    <xf numFmtId="0" fontId="0" fillId="0" borderId="163" xfId="0" applyBorder="1" applyAlignment="1">
      <alignment horizontal="center" vertical="center" wrapText="1"/>
    </xf>
    <xf numFmtId="0" fontId="0" fillId="0" borderId="164" xfId="0" applyBorder="1" applyAlignment="1">
      <alignment horizontal="center" vertical="center" wrapText="1"/>
    </xf>
    <xf numFmtId="0" fontId="38" fillId="4" borderId="165" xfId="0" applyNumberFormat="1" applyFont="1" applyFill="1" applyBorder="1" applyAlignment="1" applyProtection="1">
      <alignment horizontal="right" vertical="center"/>
      <protection hidden="1"/>
    </xf>
    <xf numFmtId="0" fontId="0" fillId="0" borderId="166" xfId="0" applyBorder="1" applyAlignment="1">
      <alignment horizontal="right" vertical="center"/>
    </xf>
    <xf numFmtId="0" fontId="0" fillId="0" borderId="167" xfId="0" applyBorder="1" applyAlignment="1">
      <alignment horizontal="right" vertical="center"/>
    </xf>
    <xf numFmtId="0" fontId="38" fillId="0" borderId="153" xfId="0" applyNumberFormat="1" applyFont="1" applyFill="1" applyBorder="1" applyAlignment="1" applyProtection="1">
      <alignment horizontal="left" vertical="center"/>
      <protection locked="0"/>
    </xf>
    <xf numFmtId="0" fontId="0" fillId="0" borderId="154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164" fontId="38" fillId="0" borderId="52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Border="1" applyAlignment="1">
      <alignment horizontal="right" vertical="center"/>
    </xf>
    <xf numFmtId="0" fontId="0" fillId="0" borderId="168" xfId="0" applyBorder="1" applyAlignment="1">
      <alignment horizontal="right" vertical="center"/>
    </xf>
    <xf numFmtId="0" fontId="37" fillId="3" borderId="103" xfId="0" applyFont="1" applyFill="1" applyBorder="1" applyAlignment="1" applyProtection="1">
      <alignment horizontal="right" vertical="center"/>
      <protection hidden="1"/>
    </xf>
    <xf numFmtId="0" fontId="0" fillId="0" borderId="103" xfId="0" applyBorder="1" applyAlignment="1">
      <alignment horizontal="right" vertical="center"/>
    </xf>
    <xf numFmtId="0" fontId="0" fillId="0" borderId="169" xfId="0" applyBorder="1" applyAlignment="1">
      <alignment horizontal="right" vertical="center"/>
    </xf>
    <xf numFmtId="0" fontId="39" fillId="3" borderId="98" xfId="0" applyNumberFormat="1" applyFont="1" applyFill="1" applyBorder="1" applyAlignment="1" applyProtection="1">
      <alignment horizontal="right" vertical="center"/>
      <protection/>
    </xf>
    <xf numFmtId="177" fontId="39" fillId="2" borderId="170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177" fontId="38" fillId="5" borderId="99" xfId="0" applyNumberFormat="1" applyFont="1" applyFill="1" applyBorder="1" applyAlignment="1" applyProtection="1">
      <alignment horizontal="center" vertical="center"/>
      <protection hidden="1"/>
    </xf>
    <xf numFmtId="0" fontId="0" fillId="0" borderId="100" xfId="0" applyBorder="1" applyAlignment="1">
      <alignment horizontal="center" vertical="center"/>
    </xf>
    <xf numFmtId="177" fontId="26" fillId="4" borderId="98" xfId="0" applyNumberFormat="1" applyFont="1" applyFill="1" applyBorder="1" applyAlignment="1" applyProtection="1">
      <alignment horizontal="center" vertical="center"/>
      <protection hidden="1"/>
    </xf>
    <xf numFmtId="177" fontId="26" fillId="4" borderId="94" xfId="0" applyNumberFormat="1" applyFont="1" applyFill="1" applyBorder="1" applyAlignment="1" applyProtection="1">
      <alignment horizontal="center" vertical="center"/>
      <protection hidden="1"/>
    </xf>
    <xf numFmtId="0" fontId="38" fillId="0" borderId="171" xfId="0" applyNumberFormat="1" applyFont="1" applyFill="1" applyBorder="1" applyAlignment="1" applyProtection="1">
      <alignment horizontal="right" vertical="center"/>
      <protection locked="0"/>
    </xf>
    <xf numFmtId="0" fontId="0" fillId="0" borderId="172" xfId="0" applyBorder="1" applyAlignment="1">
      <alignment horizontal="right" vertical="center"/>
    </xf>
    <xf numFmtId="0" fontId="0" fillId="0" borderId="173" xfId="0" applyBorder="1" applyAlignment="1">
      <alignment horizontal="right" vertical="center"/>
    </xf>
    <xf numFmtId="0" fontId="33" fillId="0" borderId="154" xfId="0" applyFont="1" applyBorder="1" applyAlignment="1" applyProtection="1">
      <alignment/>
      <protection locked="0"/>
    </xf>
    <xf numFmtId="0" fontId="38" fillId="0" borderId="97" xfId="0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74" xfId="0" applyBorder="1" applyAlignment="1">
      <alignment horizontal="center" vertical="center"/>
    </xf>
    <xf numFmtId="0" fontId="38" fillId="0" borderId="153" xfId="0" applyNumberFormat="1" applyFont="1" applyFill="1" applyBorder="1" applyAlignment="1" applyProtection="1">
      <alignment/>
      <protection locked="0"/>
    </xf>
    <xf numFmtId="0" fontId="38" fillId="0" borderId="154" xfId="0" applyFont="1" applyFill="1" applyBorder="1" applyAlignment="1" applyProtection="1">
      <alignment/>
      <protection locked="0"/>
    </xf>
    <xf numFmtId="0" fontId="38" fillId="0" borderId="39" xfId="0" applyFont="1" applyFill="1" applyBorder="1" applyAlignment="1" applyProtection="1">
      <alignment/>
      <protection locked="0"/>
    </xf>
    <xf numFmtId="0" fontId="38" fillId="0" borderId="175" xfId="0" applyNumberFormat="1" applyFont="1" applyFill="1" applyBorder="1" applyAlignment="1" applyProtection="1">
      <alignment/>
      <protection locked="0"/>
    </xf>
    <xf numFmtId="0" fontId="38" fillId="0" borderId="176" xfId="0" applyFont="1" applyFill="1" applyBorder="1" applyAlignment="1" applyProtection="1">
      <alignment/>
      <protection locked="0"/>
    </xf>
    <xf numFmtId="0" fontId="38" fillId="0" borderId="38" xfId="0" applyFont="1" applyFill="1" applyBorder="1" applyAlignment="1" applyProtection="1">
      <alignment/>
      <protection locked="0"/>
    </xf>
    <xf numFmtId="0" fontId="38" fillId="0" borderId="177" xfId="21" applyNumberFormat="1" applyFont="1" applyFill="1" applyBorder="1" applyAlignment="1" applyProtection="1">
      <alignment horizontal="left" vertical="center"/>
      <protection locked="0"/>
    </xf>
    <xf numFmtId="0" fontId="38" fillId="0" borderId="178" xfId="21" applyNumberFormat="1" applyFont="1" applyFill="1" applyBorder="1" applyAlignment="1" applyProtection="1">
      <alignment horizontal="left" vertical="center"/>
      <protection locked="0"/>
    </xf>
    <xf numFmtId="0" fontId="38" fillId="0" borderId="43" xfId="21" applyNumberFormat="1" applyFont="1" applyFill="1" applyBorder="1" applyAlignment="1" applyProtection="1">
      <alignment horizontal="left" vertical="center"/>
      <protection locked="0"/>
    </xf>
    <xf numFmtId="0" fontId="38" fillId="0" borderId="175" xfId="21" applyNumberFormat="1" applyFont="1" applyFill="1" applyBorder="1" applyAlignment="1" applyProtection="1">
      <alignment horizontal="left" vertical="center"/>
      <protection locked="0"/>
    </xf>
    <xf numFmtId="0" fontId="33" fillId="0" borderId="176" xfId="0" applyFont="1" applyFill="1" applyBorder="1" applyAlignment="1" applyProtection="1">
      <alignment horizontal="left" vertical="center"/>
      <protection locked="0"/>
    </xf>
    <xf numFmtId="0" fontId="33" fillId="0" borderId="38" xfId="0" applyFont="1" applyFill="1" applyBorder="1" applyAlignment="1" applyProtection="1">
      <alignment horizontal="left" vertical="center"/>
      <protection locked="0"/>
    </xf>
    <xf numFmtId="0" fontId="38" fillId="0" borderId="153" xfId="0" applyNumberFormat="1" applyFont="1" applyBorder="1" applyAlignment="1" applyProtection="1">
      <alignment/>
      <protection locked="0"/>
    </xf>
    <xf numFmtId="0" fontId="33" fillId="0" borderId="39" xfId="0" applyFont="1" applyBorder="1" applyAlignment="1" applyProtection="1">
      <alignment/>
      <protection locked="0"/>
    </xf>
    <xf numFmtId="0" fontId="38" fillId="0" borderId="105" xfId="0" applyNumberFormat="1" applyFont="1" applyFill="1" applyBorder="1" applyAlignment="1" applyProtection="1">
      <alignment horizontal="left" vertical="center"/>
      <protection locked="0"/>
    </xf>
    <xf numFmtId="0" fontId="38" fillId="0" borderId="153" xfId="21" applyNumberFormat="1" applyFont="1" applyFill="1" applyBorder="1" applyAlignment="1" applyProtection="1">
      <alignment horizontal="left" vertical="center"/>
      <protection locked="0"/>
    </xf>
    <xf numFmtId="0" fontId="38" fillId="0" borderId="154" xfId="0" applyFont="1" applyFill="1" applyBorder="1" applyAlignment="1" applyProtection="1">
      <alignment horizontal="left" vertical="center"/>
      <protection locked="0"/>
    </xf>
    <xf numFmtId="0" fontId="38" fillId="0" borderId="39" xfId="0" applyFont="1" applyFill="1" applyBorder="1" applyAlignment="1" applyProtection="1">
      <alignment horizontal="left" vertical="center"/>
      <protection locked="0"/>
    </xf>
    <xf numFmtId="0" fontId="38" fillId="0" borderId="176" xfId="0" applyFont="1" applyFill="1" applyBorder="1" applyAlignment="1" applyProtection="1">
      <alignment horizontal="left" vertical="center"/>
      <protection locked="0"/>
    </xf>
    <xf numFmtId="0" fontId="38" fillId="0" borderId="38" xfId="0" applyFont="1" applyFill="1" applyBorder="1" applyAlignment="1" applyProtection="1">
      <alignment horizontal="left" vertical="center"/>
      <protection locked="0"/>
    </xf>
    <xf numFmtId="0" fontId="38" fillId="0" borderId="179" xfId="0" applyNumberFormat="1" applyFont="1" applyFill="1" applyBorder="1" applyAlignment="1" applyProtection="1">
      <alignment horizontal="right" vertical="center"/>
      <protection/>
    </xf>
    <xf numFmtId="0" fontId="0" fillId="0" borderId="180" xfId="0" applyBorder="1" applyAlignment="1" applyProtection="1">
      <alignment horizontal="right" vertical="center"/>
      <protection/>
    </xf>
    <xf numFmtId="0" fontId="0" fillId="0" borderId="181" xfId="0" applyBorder="1" applyAlignment="1" applyProtection="1">
      <alignment horizontal="right" vertical="center"/>
      <protection/>
    </xf>
    <xf numFmtId="177" fontId="39" fillId="2" borderId="182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8" fontId="38" fillId="0" borderId="153" xfId="21" applyNumberFormat="1" applyFont="1" applyFill="1" applyBorder="1" applyAlignment="1" applyProtection="1">
      <alignment/>
      <protection locked="0"/>
    </xf>
    <xf numFmtId="0" fontId="38" fillId="0" borderId="153" xfId="21" applyNumberFormat="1" applyFont="1" applyFill="1" applyBorder="1" applyAlignment="1" applyProtection="1">
      <alignment/>
      <protection locked="0"/>
    </xf>
    <xf numFmtId="177" fontId="39" fillId="2" borderId="19" xfId="0" applyNumberFormat="1" applyFont="1" applyFill="1" applyBorder="1" applyAlignment="1" applyProtection="1">
      <alignment horizontal="center" vertical="center"/>
      <protection hidden="1" locked="0"/>
    </xf>
    <xf numFmtId="177" fontId="39" fillId="2" borderId="19" xfId="0" applyNumberFormat="1" applyFont="1" applyFill="1" applyBorder="1" applyAlignment="1" applyProtection="1">
      <alignment horizontal="center" vertical="center"/>
      <protection hidden="1" locked="0"/>
    </xf>
    <xf numFmtId="0" fontId="38" fillId="0" borderId="183" xfId="0" applyNumberFormat="1" applyFont="1" applyFill="1" applyBorder="1" applyAlignment="1" applyProtection="1">
      <alignment/>
      <protection locked="0"/>
    </xf>
    <xf numFmtId="0" fontId="38" fillId="0" borderId="184" xfId="0" applyFont="1" applyFill="1" applyBorder="1" applyAlignment="1" applyProtection="1">
      <alignment/>
      <protection locked="0"/>
    </xf>
    <xf numFmtId="0" fontId="38" fillId="0" borderId="93" xfId="0" applyFont="1" applyFill="1" applyBorder="1" applyAlignment="1" applyProtection="1">
      <alignment/>
      <protection locked="0"/>
    </xf>
    <xf numFmtId="0" fontId="44" fillId="3" borderId="185" xfId="0" applyFont="1" applyFill="1" applyBorder="1" applyAlignment="1" applyProtection="1">
      <alignment horizontal="center" vertical="center"/>
      <protection hidden="1"/>
    </xf>
    <xf numFmtId="0" fontId="0" fillId="0" borderId="186" xfId="0" applyBorder="1" applyAlignment="1">
      <alignment horizontal="center" vertical="center"/>
    </xf>
    <xf numFmtId="0" fontId="0" fillId="0" borderId="187" xfId="0" applyBorder="1" applyAlignment="1">
      <alignment horizontal="center" vertical="center"/>
    </xf>
    <xf numFmtId="0" fontId="39" fillId="3" borderId="188" xfId="0" applyFont="1" applyFill="1" applyBorder="1" applyAlignment="1" applyProtection="1">
      <alignment horizontal="left" vertical="center"/>
      <protection hidden="1"/>
    </xf>
    <xf numFmtId="0" fontId="0" fillId="0" borderId="189" xfId="0" applyBorder="1" applyAlignment="1">
      <alignment vertical="center"/>
    </xf>
    <xf numFmtId="0" fontId="0" fillId="0" borderId="190" xfId="0" applyBorder="1" applyAlignment="1">
      <alignment vertical="center"/>
    </xf>
    <xf numFmtId="0" fontId="39" fillId="3" borderId="10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38" fillId="0" borderId="179" xfId="0" applyFont="1" applyBorder="1" applyAlignment="1" applyProtection="1">
      <alignment horizontal="right" vertical="center"/>
      <protection/>
    </xf>
    <xf numFmtId="0" fontId="27" fillId="0" borderId="180" xfId="0" applyFont="1" applyBorder="1" applyAlignment="1">
      <alignment horizontal="right" vertical="center"/>
    </xf>
    <xf numFmtId="0" fontId="27" fillId="0" borderId="181" xfId="0" applyFont="1" applyBorder="1" applyAlignment="1">
      <alignment horizontal="right" vertical="center"/>
    </xf>
    <xf numFmtId="0" fontId="38" fillId="0" borderId="154" xfId="21" applyNumberFormat="1" applyFont="1" applyFill="1" applyBorder="1" applyAlignment="1" applyProtection="1">
      <alignment horizontal="left" vertical="center"/>
      <protection locked="0"/>
    </xf>
    <xf numFmtId="0" fontId="38" fillId="0" borderId="39" xfId="21" applyNumberFormat="1" applyFont="1" applyFill="1" applyBorder="1" applyAlignment="1" applyProtection="1">
      <alignment horizontal="left" vertical="center"/>
      <protection locked="0"/>
    </xf>
    <xf numFmtId="0" fontId="43" fillId="3" borderId="191" xfId="0" applyNumberFormat="1" applyFont="1" applyFill="1" applyBorder="1" applyAlignment="1" applyProtection="1">
      <alignment horizontal="center" vertical="center"/>
      <protection/>
    </xf>
    <xf numFmtId="0" fontId="19" fillId="0" borderId="192" xfId="0" applyFont="1" applyBorder="1" applyAlignment="1">
      <alignment horizontal="center" vertical="center"/>
    </xf>
    <xf numFmtId="0" fontId="19" fillId="0" borderId="193" xfId="0" applyFont="1" applyBorder="1" applyAlignment="1">
      <alignment horizontal="center" vertical="center"/>
    </xf>
    <xf numFmtId="0" fontId="52" fillId="0" borderId="163" xfId="0" applyFont="1" applyBorder="1" applyAlignment="1" applyProtection="1">
      <alignment horizontal="center" vertical="center"/>
      <protection locked="0"/>
    </xf>
    <xf numFmtId="0" fontId="39" fillId="3" borderId="97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/>
    </xf>
    <xf numFmtId="0" fontId="39" fillId="3" borderId="10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77" fontId="39" fillId="2" borderId="194" xfId="0" applyNumberFormat="1" applyFont="1" applyFill="1" applyBorder="1" applyAlignment="1" applyProtection="1">
      <alignment horizontal="center" vertical="center"/>
      <protection locked="0"/>
    </xf>
    <xf numFmtId="0" fontId="0" fillId="0" borderId="195" xfId="0" applyBorder="1" applyAlignment="1" applyProtection="1">
      <alignment horizontal="center" vertical="center"/>
      <protection locked="0"/>
    </xf>
    <xf numFmtId="0" fontId="39" fillId="0" borderId="98" xfId="0" applyFont="1" applyBorder="1" applyAlignment="1" applyProtection="1">
      <alignment horizontal="left" vertical="center"/>
      <protection locked="0"/>
    </xf>
    <xf numFmtId="0" fontId="0" fillId="0" borderId="22" xfId="0" applyBorder="1" applyAlignment="1">
      <alignment horizontal="left" vertical="center"/>
    </xf>
    <xf numFmtId="0" fontId="0" fillId="0" borderId="113" xfId="0" applyBorder="1" applyAlignment="1">
      <alignment horizontal="left" vertical="center"/>
    </xf>
    <xf numFmtId="0" fontId="40" fillId="0" borderId="196" xfId="0" applyNumberFormat="1" applyFont="1" applyBorder="1" applyAlignment="1">
      <alignment horizontal="center" vertical="center" wrapText="1"/>
    </xf>
    <xf numFmtId="0" fontId="0" fillId="0" borderId="174" xfId="0" applyBorder="1" applyAlignment="1">
      <alignment horizontal="center" vertical="center" wrapText="1"/>
    </xf>
    <xf numFmtId="177" fontId="39" fillId="2" borderId="197" xfId="0" applyNumberFormat="1" applyFont="1" applyFill="1" applyBorder="1" applyAlignment="1" applyProtection="1">
      <alignment horizontal="center" vertical="center"/>
      <protection locked="0"/>
    </xf>
    <xf numFmtId="0" fontId="0" fillId="0" borderId="93" xfId="0" applyBorder="1" applyAlignment="1" applyProtection="1">
      <alignment horizontal="center" vertical="center"/>
      <protection locked="0"/>
    </xf>
    <xf numFmtId="0" fontId="57" fillId="10" borderId="103" xfId="0" applyFont="1" applyFill="1" applyBorder="1" applyAlignment="1" applyProtection="1">
      <alignment horizontal="center" vertical="center" wrapText="1"/>
      <protection hidden="1"/>
    </xf>
    <xf numFmtId="0" fontId="19" fillId="10" borderId="103" xfId="0" applyFont="1" applyFill="1" applyBorder="1" applyAlignment="1" applyProtection="1">
      <alignment horizontal="center" vertical="center" wrapText="1"/>
      <protection hidden="1"/>
    </xf>
    <xf numFmtId="0" fontId="19" fillId="10" borderId="198" xfId="0" applyFont="1" applyFill="1" applyBorder="1" applyAlignment="1" applyProtection="1">
      <alignment horizontal="center" vertical="center" wrapText="1"/>
      <protection hidden="1"/>
    </xf>
    <xf numFmtId="0" fontId="19" fillId="10" borderId="0" xfId="0" applyFont="1" applyFill="1" applyBorder="1" applyAlignment="1" applyProtection="1">
      <alignment horizontal="center" vertical="center" wrapText="1"/>
      <protection hidden="1"/>
    </xf>
    <xf numFmtId="0" fontId="19" fillId="10" borderId="44" xfId="0" applyFont="1" applyFill="1" applyBorder="1" applyAlignment="1" applyProtection="1">
      <alignment horizontal="center" vertical="center" wrapText="1"/>
      <protection hidden="1"/>
    </xf>
    <xf numFmtId="0" fontId="0" fillId="10" borderId="0" xfId="0" applyFill="1" applyBorder="1" applyAlignment="1" applyProtection="1">
      <alignment horizontal="center" vertical="center" wrapText="1"/>
      <protection hidden="1"/>
    </xf>
    <xf numFmtId="0" fontId="0" fillId="10" borderId="44" xfId="0" applyFill="1" applyBorder="1" applyAlignment="1" applyProtection="1">
      <alignment horizontal="center" vertical="center" wrapText="1"/>
      <protection hidden="1"/>
    </xf>
    <xf numFmtId="0" fontId="0" fillId="10" borderId="199" xfId="0" applyFill="1" applyBorder="1" applyAlignment="1" applyProtection="1">
      <alignment horizontal="center" vertical="center" wrapText="1"/>
      <protection hidden="1"/>
    </xf>
    <xf numFmtId="0" fontId="0" fillId="10" borderId="200" xfId="0" applyFill="1" applyBorder="1" applyAlignment="1" applyProtection="1">
      <alignment horizontal="center" vertical="center" wrapText="1"/>
      <protection hidden="1"/>
    </xf>
    <xf numFmtId="0" fontId="44" fillId="3" borderId="97" xfId="0" applyFont="1" applyFill="1" applyBorder="1" applyAlignment="1" applyProtection="1">
      <alignment horizontal="right" vertical="center"/>
      <protection hidden="1"/>
    </xf>
    <xf numFmtId="0" fontId="44" fillId="3" borderId="14" xfId="0" applyFont="1" applyFill="1" applyBorder="1" applyAlignment="1" applyProtection="1">
      <alignment horizontal="right" vertical="center"/>
      <protection hidden="1"/>
    </xf>
    <xf numFmtId="0" fontId="44" fillId="3" borderId="201" xfId="0" applyFont="1" applyFill="1" applyBorder="1" applyAlignment="1" applyProtection="1">
      <alignment horizontal="right" vertical="center"/>
      <protection hidden="1"/>
    </xf>
    <xf numFmtId="164" fontId="44" fillId="4" borderId="202" xfId="0" applyNumberFormat="1" applyFont="1" applyFill="1" applyBorder="1" applyAlignment="1" applyProtection="1">
      <alignment horizontal="center" vertical="center"/>
      <protection/>
    </xf>
    <xf numFmtId="164" fontId="0" fillId="0" borderId="203" xfId="0" applyNumberFormat="1" applyBorder="1" applyAlignment="1">
      <alignment horizontal="center" vertical="center"/>
    </xf>
    <xf numFmtId="164" fontId="44" fillId="4" borderId="202" xfId="0" applyNumberFormat="1" applyFont="1" applyFill="1" applyBorder="1" applyAlignment="1" applyProtection="1" quotePrefix="1">
      <alignment horizontal="center" vertical="center"/>
      <protection hidden="1"/>
    </xf>
    <xf numFmtId="5" fontId="44" fillId="4" borderId="204" xfId="0" applyNumberFormat="1" applyFont="1" applyFill="1" applyBorder="1" applyAlignment="1" applyProtection="1">
      <alignment horizontal="center" vertical="center"/>
      <protection hidden="1"/>
    </xf>
    <xf numFmtId="0" fontId="0" fillId="0" borderId="205" xfId="0" applyBorder="1" applyAlignment="1">
      <alignment/>
    </xf>
    <xf numFmtId="0" fontId="38" fillId="0" borderId="206" xfId="0" applyFont="1" applyBorder="1" applyAlignment="1" applyProtection="1">
      <alignment horizontal="right" vertical="center"/>
      <protection hidden="1"/>
    </xf>
    <xf numFmtId="0" fontId="36" fillId="0" borderId="122" xfId="0" applyFont="1" applyBorder="1" applyAlignment="1" applyProtection="1">
      <alignment horizontal="right" vertical="center"/>
      <protection hidden="1"/>
    </xf>
    <xf numFmtId="0" fontId="36" fillId="0" borderId="207" xfId="0" applyFont="1" applyBorder="1" applyAlignment="1" applyProtection="1">
      <alignment horizontal="right" vertical="center"/>
      <protection hidden="1"/>
    </xf>
    <xf numFmtId="0" fontId="38" fillId="0" borderId="5" xfId="0" applyNumberFormat="1" applyFont="1" applyFill="1" applyBorder="1" applyAlignment="1" applyProtection="1">
      <alignment horizontal="right" vertical="center"/>
      <protection hidden="1"/>
    </xf>
    <xf numFmtId="0" fontId="0" fillId="0" borderId="5" xfId="0" applyBorder="1" applyAlignment="1">
      <alignment horizontal="right" vertical="center"/>
    </xf>
    <xf numFmtId="0" fontId="38" fillId="0" borderId="145" xfId="0" applyNumberFormat="1" applyFont="1" applyFill="1" applyBorder="1" applyAlignment="1" applyProtection="1">
      <alignment horizontal="left" vertical="center"/>
      <protection/>
    </xf>
    <xf numFmtId="0" fontId="38" fillId="0" borderId="208" xfId="0" applyNumberFormat="1" applyFont="1" applyFill="1" applyBorder="1" applyAlignment="1" applyProtection="1">
      <alignment horizontal="left" vertical="center"/>
      <protection/>
    </xf>
    <xf numFmtId="0" fontId="0" fillId="0" borderId="209" xfId="0" applyBorder="1" applyAlignment="1" applyProtection="1">
      <alignment horizontal="left" vertical="center"/>
      <protection/>
    </xf>
    <xf numFmtId="0" fontId="0" fillId="0" borderId="210" xfId="0" applyBorder="1" applyAlignment="1" applyProtection="1">
      <alignment horizontal="left" vertical="center"/>
      <protection/>
    </xf>
    <xf numFmtId="0" fontId="0" fillId="0" borderId="146" xfId="0" applyBorder="1" applyAlignment="1" applyProtection="1">
      <alignment horizontal="left" vertical="center"/>
      <protection/>
    </xf>
    <xf numFmtId="0" fontId="0" fillId="0" borderId="49" xfId="0" applyBorder="1" applyAlignment="1" applyProtection="1">
      <alignment horizontal="left" vertical="center"/>
      <protection/>
    </xf>
    <xf numFmtId="0" fontId="0" fillId="0" borderId="146" xfId="0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38" fillId="0" borderId="211" xfId="0" applyNumberFormat="1" applyFont="1" applyFill="1" applyBorder="1" applyAlignment="1" applyProtection="1">
      <alignment horizontal="left" vertical="center"/>
      <protection locked="0"/>
    </xf>
    <xf numFmtId="0" fontId="0" fillId="0" borderId="212" xfId="0" applyBorder="1" applyAlignment="1" applyProtection="1">
      <alignment horizontal="left" vertical="center"/>
      <protection locked="0"/>
    </xf>
    <xf numFmtId="0" fontId="0" fillId="0" borderId="213" xfId="0" applyBorder="1" applyAlignment="1" applyProtection="1">
      <alignment horizontal="left" vertical="center"/>
      <protection locked="0"/>
    </xf>
    <xf numFmtId="9" fontId="44" fillId="0" borderId="214" xfId="22" applyFont="1" applyFill="1" applyBorder="1" applyAlignment="1" applyProtection="1">
      <alignment horizontal="right" vertical="center"/>
      <protection hidden="1"/>
    </xf>
    <xf numFmtId="0" fontId="0" fillId="0" borderId="163" xfId="0" applyBorder="1" applyAlignment="1">
      <alignment horizontal="right" vertical="center"/>
    </xf>
    <xf numFmtId="0" fontId="0" fillId="0" borderId="215" xfId="0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164" fontId="15" fillId="0" borderId="0" xfId="0" applyNumberFormat="1" applyFont="1" applyAlignment="1">
      <alignment horizontal="left" vertical="center" indent="5"/>
    </xf>
    <xf numFmtId="0" fontId="0" fillId="0" borderId="0" xfId="0" applyAlignment="1">
      <alignment horizontal="left" vertical="center" indent="5"/>
    </xf>
    <xf numFmtId="164" fontId="15" fillId="0" borderId="0" xfId="0" applyNumberFormat="1" applyFont="1" applyAlignment="1">
      <alignment horizontal="left" vertical="center" indent="4"/>
    </xf>
    <xf numFmtId="0" fontId="0" fillId="0" borderId="0" xfId="0" applyAlignment="1">
      <alignment horizontal="left" vertical="center" indent="4"/>
    </xf>
    <xf numFmtId="164" fontId="15" fillId="0" borderId="0" xfId="0" applyNumberFormat="1" applyFont="1" applyAlignment="1">
      <alignment horizontal="left" vertical="center" indent="3"/>
    </xf>
    <xf numFmtId="0" fontId="0" fillId="0" borderId="0" xfId="0" applyAlignment="1">
      <alignment horizontal="left" indent="3"/>
    </xf>
    <xf numFmtId="0" fontId="6" fillId="0" borderId="0" xfId="0" applyFont="1" applyFill="1" applyBorder="1" applyAlignment="1" applyProtection="1">
      <alignment horizontal="left" vertical="top" wrapText="1"/>
      <protection hidden="1"/>
    </xf>
    <xf numFmtId="0" fontId="3" fillId="0" borderId="216" xfId="0" applyFont="1" applyFill="1" applyBorder="1" applyAlignment="1">
      <alignment horizontal="left" vertical="center" wrapText="1"/>
    </xf>
    <xf numFmtId="0" fontId="0" fillId="0" borderId="217" xfId="0" applyBorder="1" applyAlignment="1">
      <alignment wrapText="1"/>
    </xf>
    <xf numFmtId="0" fontId="0" fillId="0" borderId="218" xfId="0" applyBorder="1" applyAlignment="1">
      <alignment wrapText="1"/>
    </xf>
    <xf numFmtId="0" fontId="0" fillId="0" borderId="219" xfId="0" applyBorder="1" applyAlignment="1">
      <alignment wrapText="1"/>
    </xf>
    <xf numFmtId="0" fontId="0" fillId="0" borderId="220" xfId="0" applyBorder="1" applyAlignment="1">
      <alignment wrapText="1"/>
    </xf>
    <xf numFmtId="0" fontId="0" fillId="0" borderId="221" xfId="0" applyBorder="1" applyAlignment="1">
      <alignment wrapText="1"/>
    </xf>
    <xf numFmtId="0" fontId="3" fillId="0" borderId="0" xfId="0" applyFont="1" applyFill="1" applyBorder="1" applyAlignment="1" applyProtection="1">
      <alignment horizontal="center" wrapText="1"/>
      <protection hidden="1"/>
    </xf>
    <xf numFmtId="0" fontId="3" fillId="3" borderId="222" xfId="0" applyFont="1" applyFill="1" applyBorder="1" applyAlignment="1" applyProtection="1">
      <alignment horizontal="center" wrapText="1"/>
      <protection hidden="1"/>
    </xf>
    <xf numFmtId="0" fontId="3" fillId="3" borderId="62" xfId="0" applyFont="1" applyFill="1" applyBorder="1" applyAlignment="1" applyProtection="1">
      <alignment horizontal="center" wrapText="1"/>
      <protection hidden="1"/>
    </xf>
    <xf numFmtId="0" fontId="3" fillId="0" borderId="65" xfId="0" applyFont="1" applyBorder="1" applyAlignment="1" applyProtection="1">
      <alignment horizontal="center" wrapText="1"/>
      <protection hidden="1"/>
    </xf>
    <xf numFmtId="0" fontId="3" fillId="0" borderId="66" xfId="0" applyFont="1" applyBorder="1" applyAlignment="1" applyProtection="1">
      <alignment horizontal="center" wrapText="1"/>
      <protection hidden="1"/>
    </xf>
    <xf numFmtId="0" fontId="3" fillId="4" borderId="222" xfId="0" applyFont="1" applyFill="1" applyBorder="1" applyAlignment="1" applyProtection="1">
      <alignment horizontal="center" wrapText="1"/>
      <protection hidden="1"/>
    </xf>
    <xf numFmtId="0" fontId="3" fillId="4" borderId="62" xfId="0" applyFont="1" applyFill="1" applyBorder="1" applyAlignment="1" applyProtection="1">
      <alignment horizontal="center" wrapText="1"/>
      <protection hidden="1"/>
    </xf>
    <xf numFmtId="164" fontId="0" fillId="0" borderId="0" xfId="0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3" fillId="0" borderId="222" xfId="0" applyFont="1" applyFill="1" applyBorder="1" applyAlignment="1" applyProtection="1">
      <alignment horizontal="center" wrapText="1"/>
      <protection hidden="1"/>
    </xf>
    <xf numFmtId="0" fontId="3" fillId="0" borderId="64" xfId="0" applyFont="1" applyFill="1" applyBorder="1" applyAlignment="1" applyProtection="1">
      <alignment horizontal="center" wrapText="1"/>
      <protection hidden="1"/>
    </xf>
    <xf numFmtId="0" fontId="0" fillId="0" borderId="217" xfId="0" applyBorder="1" applyAlignment="1">
      <alignment horizontal="center" vertical="center"/>
    </xf>
    <xf numFmtId="0" fontId="0" fillId="0" borderId="217" xfId="0" applyBorder="1" applyAlignment="1">
      <alignment/>
    </xf>
    <xf numFmtId="3" fontId="11" fillId="0" borderId="66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51" xfId="0" applyFont="1" applyBorder="1" applyAlignment="1">
      <alignment horizontal="center" vertical="center"/>
    </xf>
    <xf numFmtId="0" fontId="11" fillId="0" borderId="88" xfId="0" applyFont="1" applyFill="1" applyBorder="1" applyAlignment="1" applyProtection="1">
      <alignment horizontal="center" vertical="center" wrapText="1"/>
      <protection hidden="1"/>
    </xf>
    <xf numFmtId="0" fontId="0" fillId="0" borderId="9" xfId="0" applyBorder="1" applyAlignment="1">
      <alignment horizontal="center" vertical="center"/>
    </xf>
    <xf numFmtId="0" fontId="15" fillId="0" borderId="90" xfId="0" applyFont="1" applyFill="1" applyBorder="1" applyAlignment="1" applyProtection="1">
      <alignment horizontal="center" vertical="center"/>
      <protection hidden="1"/>
    </xf>
    <xf numFmtId="0" fontId="0" fillId="0" borderId="223" xfId="0" applyBorder="1" applyAlignment="1">
      <alignment horizontal="center" vertical="center"/>
    </xf>
    <xf numFmtId="0" fontId="55" fillId="0" borderId="90" xfId="0" applyFont="1" applyFill="1" applyBorder="1" applyAlignment="1" applyProtection="1">
      <alignment horizontal="left" vertical="center" wrapText="1" indent="1"/>
      <protection hidden="1"/>
    </xf>
    <xf numFmtId="0" fontId="0" fillId="0" borderId="91" xfId="0" applyBorder="1" applyAlignment="1">
      <alignment horizontal="left" vertical="center" wrapText="1" indent="1"/>
    </xf>
    <xf numFmtId="0" fontId="0" fillId="0" borderId="223" xfId="0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49" fontId="55" fillId="0" borderId="5" xfId="0" applyNumberFormat="1" applyFont="1" applyBorder="1" applyAlignment="1" applyProtection="1">
      <alignment horizontal="left" vertical="center"/>
      <protection locked="0"/>
    </xf>
    <xf numFmtId="49" fontId="0" fillId="0" borderId="5" xfId="0" applyNumberFormat="1" applyBorder="1" applyAlignment="1" applyProtection="1">
      <alignment/>
      <protection locked="0"/>
    </xf>
    <xf numFmtId="49" fontId="0" fillId="0" borderId="74" xfId="0" applyNumberFormat="1" applyBorder="1" applyAlignment="1" applyProtection="1">
      <alignment/>
      <protection locked="0"/>
    </xf>
    <xf numFmtId="165" fontId="3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5" xfId="0" applyBorder="1" applyAlignment="1">
      <alignment/>
    </xf>
    <xf numFmtId="0" fontId="51" fillId="0" borderId="49" xfId="0" applyFont="1" applyFill="1" applyBorder="1" applyAlignment="1">
      <alignment vertical="center" wrapText="1"/>
    </xf>
    <xf numFmtId="0" fontId="0" fillId="0" borderId="5" xfId="0" applyFill="1" applyBorder="1" applyAlignment="1">
      <alignment/>
    </xf>
    <xf numFmtId="0" fontId="0" fillId="0" borderId="74" xfId="0" applyFill="1" applyBorder="1" applyAlignment="1">
      <alignment/>
    </xf>
    <xf numFmtId="0" fontId="0" fillId="0" borderId="49" xfId="0" applyFill="1" applyBorder="1" applyAlignment="1">
      <alignment/>
    </xf>
    <xf numFmtId="0" fontId="51" fillId="10" borderId="6" xfId="0" applyFont="1" applyFill="1" applyBorder="1" applyAlignment="1">
      <alignment vertical="top" wrapText="1"/>
    </xf>
    <xf numFmtId="0" fontId="0" fillId="0" borderId="6" xfId="0" applyBorder="1" applyAlignment="1">
      <alignment/>
    </xf>
    <xf numFmtId="0" fontId="82" fillId="0" borderId="224" xfId="0" applyFont="1" applyFill="1" applyBorder="1" applyAlignment="1" applyProtection="1">
      <alignment horizontal="right" vertical="center"/>
      <protection locked="0"/>
    </xf>
    <xf numFmtId="0" fontId="83" fillId="0" borderId="225" xfId="0" applyFont="1" applyBorder="1" applyAlignment="1" applyProtection="1">
      <alignment horizontal="right" vertical="center"/>
      <protection locked="0"/>
    </xf>
    <xf numFmtId="0" fontId="3" fillId="0" borderId="92" xfId="0" applyFont="1" applyBorder="1" applyAlignment="1">
      <alignment horizontal="right" vertical="center"/>
    </xf>
    <xf numFmtId="0" fontId="0" fillId="0" borderId="146" xfId="0" applyBorder="1" applyAlignment="1">
      <alignment/>
    </xf>
    <xf numFmtId="0" fontId="3" fillId="0" borderId="92" xfId="0" applyFont="1" applyFill="1" applyBorder="1" applyAlignment="1">
      <alignment horizontal="right" vertical="center"/>
    </xf>
    <xf numFmtId="0" fontId="3" fillId="0" borderId="62" xfId="0" applyFont="1" applyFill="1" applyBorder="1" applyAlignment="1" applyProtection="1">
      <alignment horizontal="center" wrapText="1"/>
      <protection hidden="1"/>
    </xf>
    <xf numFmtId="0" fontId="0" fillId="0" borderId="62" xfId="0" applyBorder="1" applyAlignment="1" applyProtection="1">
      <alignment horizontal="center" wrapText="1"/>
      <protection hidden="1"/>
    </xf>
    <xf numFmtId="0" fontId="17" fillId="0" borderId="92" xfId="0" applyFont="1" applyFill="1" applyBorder="1" applyAlignment="1">
      <alignment horizontal="right" vertical="center"/>
    </xf>
    <xf numFmtId="0" fontId="0" fillId="0" borderId="226" xfId="0" applyBorder="1" applyAlignment="1">
      <alignment/>
    </xf>
    <xf numFmtId="0" fontId="0" fillId="0" borderId="86" xfId="0" applyBorder="1" applyAlignment="1">
      <alignment/>
    </xf>
    <xf numFmtId="165" fontId="26" fillId="4" borderId="227" xfId="0" applyNumberFormat="1" applyFont="1" applyFill="1" applyBorder="1" applyAlignment="1" applyProtection="1">
      <alignment horizontal="center" vertical="center"/>
      <protection hidden="1"/>
    </xf>
    <xf numFmtId="0" fontId="0" fillId="0" borderId="122" xfId="0" applyBorder="1" applyAlignment="1" applyProtection="1">
      <alignment horizontal="center" vertical="center"/>
      <protection hidden="1"/>
    </xf>
    <xf numFmtId="0" fontId="0" fillId="0" borderId="228" xfId="0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/>
      <protection hidden="1"/>
    </xf>
    <xf numFmtId="177" fontId="11" fillId="0" borderId="0" xfId="0" applyNumberFormat="1" applyFont="1" applyAlignment="1" applyProtection="1">
      <alignment horizontal="center" vertical="center" wrapText="1"/>
      <protection hidden="1"/>
    </xf>
    <xf numFmtId="164" fontId="11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164" fontId="3" fillId="0" borderId="0" xfId="0" applyNumberFormat="1" applyFont="1" applyAlignment="1" applyProtection="1">
      <alignment horizontal="center" vertical="center"/>
      <protection hidden="1"/>
    </xf>
    <xf numFmtId="10" fontId="3" fillId="0" borderId="0" xfId="0" applyNumberFormat="1" applyFon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164" fontId="12" fillId="0" borderId="0" xfId="0" applyNumberFormat="1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77" fontId="3" fillId="0" borderId="0" xfId="0" applyNumberFormat="1" applyFont="1" applyAlignment="1" applyProtection="1">
      <alignment horizontal="center" vertical="center" wrapText="1"/>
      <protection hidden="1"/>
    </xf>
    <xf numFmtId="165" fontId="12" fillId="0" borderId="0" xfId="0" applyNumberFormat="1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3" fillId="0" borderId="104" xfId="0" applyFont="1" applyBorder="1" applyAlignment="1" applyProtection="1">
      <alignment horizontal="center" vertical="center"/>
      <protection hidden="1"/>
    </xf>
    <xf numFmtId="0" fontId="0" fillId="0" borderId="104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104" xfId="0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center" vertical="center" wrapText="1"/>
      <protection hidden="1"/>
    </xf>
    <xf numFmtId="0" fontId="12" fillId="0" borderId="104" xfId="0" applyFont="1" applyBorder="1" applyAlignment="1" applyProtection="1">
      <alignment horizontal="center" vertical="center" wrapText="1"/>
      <protection hidden="1"/>
    </xf>
    <xf numFmtId="0" fontId="4" fillId="0" borderId="104" xfId="0" applyFont="1" applyBorder="1" applyAlignment="1" applyProtection="1">
      <alignment horizontal="center" vertical="center" wrapText="1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6" fillId="0" borderId="29" xfId="0" applyFont="1" applyBorder="1" applyAlignment="1" applyProtection="1">
      <alignment horizontal="center" vertical="center"/>
      <protection hidden="1"/>
    </xf>
    <xf numFmtId="0" fontId="15" fillId="0" borderId="229" xfId="0" applyFont="1" applyBorder="1" applyAlignment="1" applyProtection="1">
      <alignment horizontal="center" vertical="center"/>
      <protection hidden="1"/>
    </xf>
    <xf numFmtId="0" fontId="0" fillId="0" borderId="120" xfId="0" applyBorder="1" applyAlignment="1">
      <alignment horizontal="center" vertical="center"/>
    </xf>
    <xf numFmtId="0" fontId="0" fillId="0" borderId="230" xfId="0" applyBorder="1" applyAlignment="1">
      <alignment horizontal="center" vertical="center"/>
    </xf>
    <xf numFmtId="0" fontId="0" fillId="0" borderId="214" xfId="0" applyBorder="1" applyAlignment="1">
      <alignment horizontal="center" vertical="center"/>
    </xf>
    <xf numFmtId="0" fontId="0" fillId="0" borderId="163" xfId="0" applyBorder="1" applyAlignment="1">
      <alignment horizontal="center" vertical="center"/>
    </xf>
    <xf numFmtId="0" fontId="0" fillId="0" borderId="231" xfId="0" applyBorder="1" applyAlignment="1">
      <alignment horizontal="center" vertical="center"/>
    </xf>
    <xf numFmtId="0" fontId="11" fillId="0" borderId="104" xfId="0" applyFont="1" applyBorder="1" applyAlignment="1" applyProtection="1">
      <alignment horizontal="center" vertical="center" wrapText="1"/>
      <protection hidden="1"/>
    </xf>
    <xf numFmtId="1" fontId="12" fillId="0" borderId="232" xfId="0" applyNumberFormat="1" applyFont="1" applyBorder="1" applyAlignment="1" applyProtection="1">
      <alignment horizontal="center" vertical="center" wrapText="1"/>
      <protection hidden="1"/>
    </xf>
    <xf numFmtId="1" fontId="0" fillId="0" borderId="233" xfId="0" applyNumberFormat="1" applyBorder="1" applyAlignment="1" applyProtection="1">
      <alignment horizontal="center" vertical="center" wrapText="1"/>
      <protection hidden="1"/>
    </xf>
    <xf numFmtId="1" fontId="0" fillId="0" borderId="104" xfId="0" applyNumberFormat="1" applyBorder="1" applyAlignment="1" applyProtection="1">
      <alignment horizontal="center" vertical="center" wrapText="1"/>
      <protection hidden="1"/>
    </xf>
    <xf numFmtId="1" fontId="0" fillId="0" borderId="234" xfId="0" applyNumberFormat="1" applyBorder="1" applyAlignment="1" applyProtection="1">
      <alignment horizontal="center" vertical="center" wrapText="1"/>
      <protection hidden="1"/>
    </xf>
    <xf numFmtId="1" fontId="11" fillId="4" borderId="6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235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wrapText="1"/>
      <protection hidden="1"/>
    </xf>
    <xf numFmtId="0" fontId="24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51" xfId="0" applyBorder="1" applyAlignment="1">
      <alignment vertical="center"/>
    </xf>
    <xf numFmtId="164" fontId="24" fillId="0" borderId="0" xfId="0" applyNumberFormat="1" applyFont="1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164" fontId="17" fillId="0" borderId="0" xfId="0" applyNumberFormat="1" applyFont="1" applyFill="1" applyBorder="1" applyAlignment="1" applyProtection="1">
      <alignment horizontal="center" vertical="center"/>
      <protection hidden="1" locked="0"/>
    </xf>
    <xf numFmtId="165" fontId="3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65" fontId="3" fillId="3" borderId="6" xfId="0" applyNumberFormat="1" applyFont="1" applyFill="1" applyBorder="1" applyAlignment="1" applyProtection="1">
      <alignment horizontal="center" vertical="center"/>
      <protection hidden="1" locked="0"/>
    </xf>
    <xf numFmtId="165" fontId="3" fillId="3" borderId="49" xfId="0" applyNumberFormat="1" applyFont="1" applyFill="1" applyBorder="1" applyAlignment="1" applyProtection="1">
      <alignment horizontal="center" vertical="center"/>
      <protection hidden="1" locked="0"/>
    </xf>
    <xf numFmtId="165" fontId="3" fillId="3" borderId="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/>
      <protection hidden="1"/>
    </xf>
    <xf numFmtId="0" fontId="3" fillId="0" borderId="229" xfId="0" applyFont="1" applyBorder="1" applyAlignment="1" applyProtection="1">
      <alignment horizontal="left" vertical="center" wrapText="1"/>
      <protection hidden="1"/>
    </xf>
    <xf numFmtId="0" fontId="0" fillId="0" borderId="120" xfId="0" applyFont="1" applyBorder="1" applyAlignment="1">
      <alignment horizontal="left" vertical="center" wrapText="1"/>
    </xf>
    <xf numFmtId="0" fontId="0" fillId="0" borderId="230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6" xfId="0" applyFont="1" applyBorder="1" applyAlignment="1">
      <alignment horizontal="left" vertical="center" wrapText="1"/>
    </xf>
    <xf numFmtId="0" fontId="0" fillId="0" borderId="214" xfId="0" applyFont="1" applyBorder="1" applyAlignment="1">
      <alignment horizontal="left" vertical="center" wrapText="1"/>
    </xf>
    <xf numFmtId="0" fontId="0" fillId="0" borderId="163" xfId="0" applyFont="1" applyBorder="1" applyAlignment="1">
      <alignment horizontal="left" vertical="center" wrapText="1"/>
    </xf>
    <xf numFmtId="0" fontId="0" fillId="0" borderId="231" xfId="0" applyFont="1" applyBorder="1" applyAlignment="1">
      <alignment horizontal="left" vertical="center" wrapText="1"/>
    </xf>
    <xf numFmtId="9" fontId="3" fillId="2" borderId="6" xfId="0" applyNumberFormat="1" applyFont="1" applyFill="1" applyBorder="1" applyAlignment="1" applyProtection="1">
      <alignment horizontal="center" vertical="center"/>
      <protection locked="0"/>
    </xf>
    <xf numFmtId="9" fontId="3" fillId="2" borderId="49" xfId="0" applyNumberFormat="1" applyFont="1" applyFill="1" applyBorder="1" applyAlignment="1" applyProtection="1">
      <alignment horizontal="center" vertical="center"/>
      <protection locked="0"/>
    </xf>
    <xf numFmtId="184" fontId="11" fillId="4" borderId="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>
      <alignment/>
    </xf>
    <xf numFmtId="0" fontId="3" fillId="3" borderId="227" xfId="0" applyFont="1" applyFill="1" applyBorder="1" applyAlignment="1" applyProtection="1">
      <alignment horizontal="right" vertical="center" wrapText="1"/>
      <protection locked="0"/>
    </xf>
    <xf numFmtId="0" fontId="3" fillId="3" borderId="122" xfId="0" applyFont="1" applyFill="1" applyBorder="1" applyAlignment="1" applyProtection="1">
      <alignment horizontal="right" vertical="center" wrapText="1"/>
      <protection locked="0"/>
    </xf>
    <xf numFmtId="0" fontId="0" fillId="0" borderId="122" xfId="0" applyBorder="1" applyAlignment="1" applyProtection="1">
      <alignment horizontal="right" vertical="center" wrapText="1"/>
      <protection locked="0"/>
    </xf>
    <xf numFmtId="184" fontId="3" fillId="3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3" fontId="3" fillId="2" borderId="5" xfId="0" applyNumberFormat="1" applyFont="1" applyFill="1" applyBorder="1" applyAlignment="1" applyProtection="1">
      <alignment horizontal="center" vertical="center"/>
      <protection locked="0"/>
    </xf>
    <xf numFmtId="0" fontId="15" fillId="0" borderId="118" xfId="0" applyFont="1" applyBorder="1" applyAlignment="1" applyProtection="1">
      <alignment horizontal="center" vertical="center"/>
      <protection hidden="1"/>
    </xf>
    <xf numFmtId="0" fontId="15" fillId="0" borderId="29" xfId="0" applyFont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15" fillId="0" borderId="237" xfId="0" applyFont="1" applyBorder="1" applyAlignment="1" applyProtection="1">
      <alignment horizontal="center" vertical="center"/>
      <protection hidden="1"/>
    </xf>
    <xf numFmtId="0" fontId="15" fillId="0" borderId="104" xfId="0" applyFont="1" applyBorder="1" applyAlignment="1" applyProtection="1">
      <alignment horizontal="center" vertical="center"/>
      <protection hidden="1"/>
    </xf>
    <xf numFmtId="0" fontId="0" fillId="0" borderId="104" xfId="0" applyBorder="1" applyAlignment="1" applyProtection="1">
      <alignment horizontal="center" vertical="center"/>
      <protection hidden="1"/>
    </xf>
    <xf numFmtId="3" fontId="3" fillId="2" borderId="6" xfId="0" applyNumberFormat="1" applyFont="1" applyFill="1" applyBorder="1" applyAlignment="1" applyProtection="1">
      <alignment horizontal="center" vertical="center"/>
      <protection locked="0"/>
    </xf>
    <xf numFmtId="3" fontId="3" fillId="2" borderId="49" xfId="0" applyNumberFormat="1" applyFont="1" applyFill="1" applyBorder="1" applyAlignment="1" applyProtection="1">
      <alignment horizontal="center" vertical="center"/>
      <protection locked="0"/>
    </xf>
    <xf numFmtId="0" fontId="3" fillId="0" borderId="104" xfId="0" applyFont="1" applyBorder="1" applyAlignment="1" applyProtection="1">
      <alignment horizontal="center" vertical="center" wrapText="1"/>
      <protection hidden="1"/>
    </xf>
    <xf numFmtId="184" fontId="3" fillId="3" borderId="145" xfId="0" applyNumberFormat="1" applyFont="1" applyFill="1" applyBorder="1" applyAlignment="1" applyProtection="1">
      <alignment horizontal="right" vertical="center" wrapText="1"/>
      <protection locked="0"/>
    </xf>
    <xf numFmtId="184" fontId="3" fillId="3" borderId="146" xfId="0" applyNumberFormat="1" applyFont="1" applyFill="1" applyBorder="1" applyAlignment="1" applyProtection="1">
      <alignment horizontal="right" vertical="center" wrapText="1"/>
      <protection locked="0"/>
    </xf>
    <xf numFmtId="184" fontId="3" fillId="3" borderId="49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45" xfId="0" applyFont="1" applyBorder="1" applyAlignment="1" applyProtection="1">
      <alignment horizontal="right" vertical="center"/>
      <protection hidden="1"/>
    </xf>
    <xf numFmtId="0" fontId="0" fillId="0" borderId="146" xfId="0" applyBorder="1" applyAlignment="1">
      <alignment/>
    </xf>
    <xf numFmtId="0" fontId="0" fillId="0" borderId="49" xfId="0" applyBorder="1" applyAlignment="1">
      <alignment/>
    </xf>
    <xf numFmtId="9" fontId="17" fillId="4" borderId="143" xfId="0" applyNumberFormat="1" applyFont="1" applyFill="1" applyBorder="1" applyAlignment="1" applyProtection="1">
      <alignment horizontal="center" vertical="center"/>
      <protection hidden="1"/>
    </xf>
    <xf numFmtId="9" fontId="19" fillId="0" borderId="238" xfId="0" applyNumberFormat="1" applyFont="1" applyBorder="1" applyAlignment="1" applyProtection="1">
      <alignment/>
      <protection hidden="1"/>
    </xf>
    <xf numFmtId="0" fontId="55" fillId="0" borderId="239" xfId="0" applyFont="1" applyBorder="1" applyAlignment="1" applyProtection="1">
      <alignment horizontal="center" vertical="center" wrapText="1"/>
      <protection hidden="1"/>
    </xf>
    <xf numFmtId="0" fontId="0" fillId="0" borderId="239" xfId="0" applyBorder="1" applyAlignment="1">
      <alignment horizontal="center" vertical="center" wrapText="1"/>
    </xf>
    <xf numFmtId="0" fontId="0" fillId="0" borderId="240" xfId="0" applyBorder="1" applyAlignment="1">
      <alignment horizontal="center" vertical="center" wrapText="1"/>
    </xf>
    <xf numFmtId="3" fontId="3" fillId="4" borderId="241" xfId="0" applyNumberFormat="1" applyFont="1" applyFill="1" applyBorder="1" applyAlignment="1" applyProtection="1">
      <alignment horizontal="center" vertical="center"/>
      <protection hidden="1"/>
    </xf>
    <xf numFmtId="0" fontId="0" fillId="0" borderId="242" xfId="0" applyFont="1" applyBorder="1" applyAlignment="1" applyProtection="1">
      <alignment/>
      <protection hidden="1"/>
    </xf>
    <xf numFmtId="0" fontId="3" fillId="3" borderId="145" xfId="0" applyFont="1" applyFill="1" applyBorder="1" applyAlignment="1" applyProtection="1">
      <alignment horizontal="right" vertical="center" wrapText="1"/>
      <protection locked="0"/>
    </xf>
    <xf numFmtId="0" fontId="3" fillId="3" borderId="146" xfId="0" applyFont="1" applyFill="1" applyBorder="1" applyAlignment="1" applyProtection="1">
      <alignment horizontal="right" vertical="center" wrapText="1"/>
      <protection locked="0"/>
    </xf>
    <xf numFmtId="0" fontId="3" fillId="3" borderId="49" xfId="0" applyFont="1" applyFill="1" applyBorder="1" applyAlignment="1" applyProtection="1">
      <alignment horizontal="right" vertical="center" wrapText="1"/>
      <protection locked="0"/>
    </xf>
    <xf numFmtId="9" fontId="12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158" xfId="0" applyFont="1" applyFill="1" applyBorder="1" applyAlignment="1" applyProtection="1">
      <alignment horizontal="right" vertical="center" wrapText="1"/>
      <protection locked="0"/>
    </xf>
    <xf numFmtId="0" fontId="3" fillId="3" borderId="5" xfId="0" applyFont="1" applyFill="1" applyBorder="1" applyAlignment="1" applyProtection="1">
      <alignment horizontal="right" vertical="center" wrapText="1"/>
      <protection locked="0"/>
    </xf>
    <xf numFmtId="0" fontId="0" fillId="0" borderId="5" xfId="0" applyBorder="1" applyAlignment="1" applyProtection="1">
      <alignment horizontal="right" vertical="center" wrapText="1"/>
      <protection locked="0"/>
    </xf>
    <xf numFmtId="184" fontId="3" fillId="3" borderId="6" xfId="0" applyNumberFormat="1" applyFont="1" applyFill="1" applyBorder="1" applyAlignment="1" applyProtection="1">
      <alignment horizontal="center" vertical="center"/>
      <protection locked="0"/>
    </xf>
    <xf numFmtId="184" fontId="3" fillId="3" borderId="49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center" vertical="center"/>
      <protection hidden="1"/>
    </xf>
    <xf numFmtId="0" fontId="0" fillId="0" borderId="236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243" xfId="0" applyFont="1" applyBorder="1" applyAlignment="1" applyProtection="1">
      <alignment horizontal="right" vertical="center"/>
      <protection hidden="1"/>
    </xf>
    <xf numFmtId="0" fontId="0" fillId="0" borderId="244" xfId="0" applyBorder="1" applyAlignment="1">
      <alignment/>
    </xf>
    <xf numFmtId="0" fontId="0" fillId="0" borderId="245" xfId="0" applyBorder="1" applyAlignment="1">
      <alignment/>
    </xf>
    <xf numFmtId="0" fontId="11" fillId="0" borderId="246" xfId="0" applyFont="1" applyBorder="1" applyAlignment="1" applyProtection="1">
      <alignment horizontal="right" vertical="center"/>
      <protection hidden="1"/>
    </xf>
    <xf numFmtId="0" fontId="6" fillId="0" borderId="144" xfId="0" applyFont="1" applyBorder="1" applyAlignment="1" applyProtection="1">
      <alignment/>
      <protection hidden="1"/>
    </xf>
    <xf numFmtId="0" fontId="6" fillId="0" borderId="142" xfId="0" applyFont="1" applyBorder="1" applyAlignment="1" applyProtection="1">
      <alignment/>
      <protection hidden="1"/>
    </xf>
    <xf numFmtId="0" fontId="0" fillId="0" borderId="236" xfId="0" applyBorder="1" applyAlignment="1">
      <alignment/>
    </xf>
    <xf numFmtId="0" fontId="11" fillId="0" borderId="246" xfId="0" applyFont="1" applyFill="1" applyBorder="1" applyAlignment="1" applyProtection="1">
      <alignment horizontal="right" vertical="center"/>
      <protection hidden="1"/>
    </xf>
    <xf numFmtId="0" fontId="11" fillId="0" borderId="247" xfId="0" applyFont="1" applyBorder="1" applyAlignment="1" applyProtection="1">
      <alignment horizontal="right" vertical="center"/>
      <protection hidden="1"/>
    </xf>
    <xf numFmtId="0" fontId="0" fillId="0" borderId="248" xfId="0" applyBorder="1" applyAlignment="1">
      <alignment/>
    </xf>
    <xf numFmtId="0" fontId="0" fillId="0" borderId="249" xfId="0" applyBorder="1" applyAlignment="1">
      <alignment/>
    </xf>
    <xf numFmtId="3" fontId="3" fillId="2" borderId="241" xfId="0" applyNumberFormat="1" applyFont="1" applyFill="1" applyBorder="1" applyAlignment="1" applyProtection="1">
      <alignment horizontal="center" vertical="center"/>
      <protection locked="0"/>
    </xf>
    <xf numFmtId="3" fontId="3" fillId="2" borderId="244" xfId="0" applyNumberFormat="1" applyFont="1" applyFill="1" applyBorder="1" applyAlignment="1" applyProtection="1">
      <alignment horizontal="center" vertical="center"/>
      <protection locked="0"/>
    </xf>
    <xf numFmtId="3" fontId="3" fillId="2" borderId="245" xfId="0" applyNumberFormat="1" applyFont="1" applyFill="1" applyBorder="1" applyAlignment="1" applyProtection="1">
      <alignment horizontal="center" vertical="center"/>
      <protection locked="0"/>
    </xf>
    <xf numFmtId="3" fontId="3" fillId="2" borderId="146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right" vertical="center"/>
      <protection hidden="1"/>
    </xf>
    <xf numFmtId="0" fontId="0" fillId="0" borderId="146" xfId="0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11" fillId="0" borderId="143" xfId="0" applyFont="1" applyFill="1" applyBorder="1" applyAlignment="1" applyProtection="1">
      <alignment horizontal="right" vertical="center"/>
      <protection hidden="1"/>
    </xf>
    <xf numFmtId="0" fontId="3" fillId="0" borderId="241" xfId="0" applyFont="1" applyFill="1" applyBorder="1" applyAlignment="1" applyProtection="1">
      <alignment horizontal="right" vertical="center"/>
      <protection hidden="1"/>
    </xf>
    <xf numFmtId="0" fontId="0" fillId="0" borderId="244" xfId="0" applyFont="1" applyBorder="1" applyAlignment="1" applyProtection="1">
      <alignment/>
      <protection hidden="1"/>
    </xf>
    <xf numFmtId="0" fontId="0" fillId="0" borderId="245" xfId="0" applyFont="1" applyBorder="1" applyAlignment="1" applyProtection="1">
      <alignment/>
      <protection hidden="1"/>
    </xf>
    <xf numFmtId="9" fontId="17" fillId="4" borderId="6" xfId="0" applyNumberFormat="1" applyFont="1" applyFill="1" applyBorder="1" applyAlignment="1" applyProtection="1">
      <alignment horizontal="center" vertical="center"/>
      <protection hidden="1"/>
    </xf>
    <xf numFmtId="9" fontId="19" fillId="0" borderId="235" xfId="0" applyNumberFormat="1" applyFont="1" applyBorder="1" applyAlignment="1" applyProtection="1">
      <alignment/>
      <protection hidden="1"/>
    </xf>
    <xf numFmtId="0" fontId="23" fillId="0" borderId="145" xfId="0" applyFont="1" applyFill="1" applyBorder="1" applyAlignment="1" applyProtection="1">
      <alignment horizontal="right" vertical="center"/>
      <protection hidden="1"/>
    </xf>
    <xf numFmtId="0" fontId="30" fillId="0" borderId="146" xfId="0" applyFont="1" applyBorder="1" applyAlignment="1" applyProtection="1">
      <alignment horizontal="right" vertical="center"/>
      <protection hidden="1"/>
    </xf>
    <xf numFmtId="0" fontId="30" fillId="0" borderId="49" xfId="0" applyFont="1" applyBorder="1" applyAlignment="1" applyProtection="1">
      <alignment horizontal="right" vertical="center"/>
      <protection hidden="1"/>
    </xf>
    <xf numFmtId="0" fontId="15" fillId="0" borderId="239" xfId="0" applyFont="1" applyBorder="1" applyAlignment="1" applyProtection="1">
      <alignment horizontal="center" vertical="center"/>
      <protection hidden="1"/>
    </xf>
    <xf numFmtId="0" fontId="0" fillId="0" borderId="239" xfId="0" applyBorder="1" applyAlignment="1">
      <alignment horizontal="center" vertical="center"/>
    </xf>
    <xf numFmtId="0" fontId="0" fillId="0" borderId="240" xfId="0" applyBorder="1" applyAlignment="1">
      <alignment horizontal="center" vertical="center"/>
    </xf>
    <xf numFmtId="0" fontId="0" fillId="0" borderId="244" xfId="0" applyBorder="1" applyAlignment="1" applyProtection="1">
      <alignment/>
      <protection hidden="1"/>
    </xf>
    <xf numFmtId="0" fontId="0" fillId="0" borderId="245" xfId="0" applyBorder="1" applyAlignment="1" applyProtection="1">
      <alignment/>
      <protection hidden="1"/>
    </xf>
    <xf numFmtId="165" fontId="3" fillId="3" borderId="207" xfId="0" applyNumberFormat="1" applyFont="1" applyFill="1" applyBorder="1" applyAlignment="1" applyProtection="1">
      <alignment horizontal="center" vertical="center"/>
      <protection hidden="1" locked="0"/>
    </xf>
    <xf numFmtId="165" fontId="3" fillId="3" borderId="213" xfId="0" applyNumberFormat="1" applyFont="1" applyFill="1" applyBorder="1" applyAlignment="1" applyProtection="1">
      <alignment horizontal="center" vertical="center"/>
      <protection hidden="1" locked="0"/>
    </xf>
    <xf numFmtId="3" fontId="3" fillId="0" borderId="0" xfId="0" applyNumberFormat="1" applyFont="1" applyAlignment="1" applyProtection="1">
      <alignment horizontal="left"/>
      <protection hidden="1"/>
    </xf>
    <xf numFmtId="3" fontId="3" fillId="4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235" xfId="0" applyFont="1" applyBorder="1" applyAlignment="1" applyProtection="1">
      <alignment/>
      <protection hidden="1"/>
    </xf>
    <xf numFmtId="0" fontId="11" fillId="0" borderId="150" xfId="0" applyFont="1" applyBorder="1" applyAlignment="1" applyProtection="1">
      <alignment horizontal="right" vertical="center"/>
      <protection hidden="1"/>
    </xf>
    <xf numFmtId="0" fontId="0" fillId="0" borderId="151" xfId="0" applyBorder="1" applyAlignment="1" applyProtection="1">
      <alignment/>
      <protection hidden="1"/>
    </xf>
    <xf numFmtId="0" fontId="3" fillId="0" borderId="250" xfId="0" applyFont="1" applyBorder="1" applyAlignment="1" applyProtection="1">
      <alignment horizontal="left" vertical="center"/>
      <protection hidden="1"/>
    </xf>
    <xf numFmtId="1" fontId="3" fillId="4" borderId="241" xfId="0" applyNumberFormat="1" applyFont="1" applyFill="1" applyBorder="1" applyAlignment="1" applyProtection="1">
      <alignment horizontal="center" vertical="center"/>
      <protection hidden="1"/>
    </xf>
    <xf numFmtId="1" fontId="0" fillId="0" borderId="242" xfId="0" applyNumberFormat="1" applyFont="1" applyBorder="1" applyAlignment="1" applyProtection="1">
      <alignment/>
      <protection hidden="1"/>
    </xf>
    <xf numFmtId="0" fontId="17" fillId="0" borderId="6" xfId="0" applyFont="1" applyBorder="1" applyAlignment="1" applyProtection="1">
      <alignment horizontal="center" vertical="center"/>
      <protection hidden="1"/>
    </xf>
    <xf numFmtId="164" fontId="15" fillId="4" borderId="251" xfId="0" applyNumberFormat="1" applyFont="1" applyFill="1" applyBorder="1" applyAlignment="1" applyProtection="1">
      <alignment horizontal="center" vertical="center"/>
      <protection hidden="1"/>
    </xf>
    <xf numFmtId="0" fontId="0" fillId="0" borderId="252" xfId="0" applyFont="1" applyBorder="1" applyAlignment="1">
      <alignment horizontal="center" vertical="center"/>
    </xf>
    <xf numFmtId="165" fontId="3" fillId="2" borderId="143" xfId="0" applyNumberFormat="1" applyFont="1" applyFill="1" applyBorder="1" applyAlignment="1" applyProtection="1">
      <alignment horizontal="center" vertical="center"/>
      <protection locked="0"/>
    </xf>
    <xf numFmtId="165" fontId="3" fillId="2" borderId="144" xfId="0" applyNumberFormat="1" applyFont="1" applyFill="1" applyBorder="1" applyAlignment="1" applyProtection="1">
      <alignment horizontal="center" vertical="center"/>
      <protection locked="0"/>
    </xf>
    <xf numFmtId="165" fontId="3" fillId="2" borderId="142" xfId="0" applyNumberFormat="1" applyFont="1" applyFill="1" applyBorder="1" applyAlignment="1" applyProtection="1">
      <alignment horizontal="center" vertical="center"/>
      <protection locked="0"/>
    </xf>
    <xf numFmtId="0" fontId="11" fillId="0" borderId="246" xfId="0" applyFont="1" applyBorder="1" applyAlignment="1" applyProtection="1">
      <alignment horizontal="center" vertical="center" wrapText="1"/>
      <protection hidden="1"/>
    </xf>
    <xf numFmtId="0" fontId="0" fillId="0" borderId="144" xfId="0" applyBorder="1" applyAlignment="1">
      <alignment/>
    </xf>
    <xf numFmtId="0" fontId="0" fillId="0" borderId="238" xfId="0" applyBorder="1" applyAlignment="1">
      <alignment/>
    </xf>
    <xf numFmtId="0" fontId="0" fillId="0" borderId="253" xfId="0" applyBorder="1" applyAlignment="1">
      <alignment/>
    </xf>
    <xf numFmtId="0" fontId="0" fillId="0" borderId="151" xfId="0" applyBorder="1" applyAlignment="1">
      <alignment/>
    </xf>
    <xf numFmtId="0" fontId="0" fillId="0" borderId="254" xfId="0" applyBorder="1" applyAlignment="1">
      <alignment/>
    </xf>
    <xf numFmtId="9" fontId="17" fillId="4" borderId="255" xfId="0" applyNumberFormat="1" applyFont="1" applyFill="1" applyBorder="1" applyAlignment="1" applyProtection="1">
      <alignment horizontal="center" vertical="center"/>
      <protection hidden="1"/>
    </xf>
    <xf numFmtId="9" fontId="0" fillId="0" borderId="256" xfId="0" applyNumberFormat="1" applyBorder="1" applyAlignment="1">
      <alignment/>
    </xf>
    <xf numFmtId="9" fontId="0" fillId="0" borderId="235" xfId="0" applyNumberFormat="1" applyBorder="1" applyAlignment="1">
      <alignment/>
    </xf>
    <xf numFmtId="3" fontId="0" fillId="0" borderId="244" xfId="0" applyNumberFormat="1" applyFont="1" applyBorder="1" applyAlignment="1" applyProtection="1">
      <alignment/>
      <protection hidden="1"/>
    </xf>
    <xf numFmtId="3" fontId="0" fillId="0" borderId="245" xfId="0" applyNumberFormat="1" applyFont="1" applyBorder="1" applyAlignment="1" applyProtection="1">
      <alignment/>
      <protection hidden="1"/>
    </xf>
    <xf numFmtId="165" fontId="3" fillId="3" borderId="145" xfId="0" applyNumberFormat="1" applyFont="1" applyFill="1" applyBorder="1" applyAlignment="1" applyProtection="1">
      <alignment horizontal="center" vertical="center"/>
      <protection locked="0"/>
    </xf>
    <xf numFmtId="0" fontId="0" fillId="0" borderId="146" xfId="0" applyBorder="1" applyAlignment="1" applyProtection="1">
      <alignment/>
      <protection locked="0"/>
    </xf>
    <xf numFmtId="0" fontId="0" fillId="0" borderId="235" xfId="0" applyBorder="1" applyAlignment="1" applyProtection="1">
      <alignment/>
      <protection locked="0"/>
    </xf>
    <xf numFmtId="9" fontId="19" fillId="0" borderId="238" xfId="0" applyNumberFormat="1" applyFont="1" applyBorder="1" applyAlignment="1" applyProtection="1">
      <alignment/>
      <protection hidden="1"/>
    </xf>
    <xf numFmtId="0" fontId="0" fillId="0" borderId="244" xfId="0" applyFont="1" applyBorder="1" applyAlignment="1" applyProtection="1">
      <alignment/>
      <protection locked="0"/>
    </xf>
    <xf numFmtId="0" fontId="0" fillId="0" borderId="245" xfId="0" applyFont="1" applyBorder="1" applyAlignment="1" applyProtection="1">
      <alignment/>
      <protection locked="0"/>
    </xf>
    <xf numFmtId="0" fontId="15" fillId="0" borderId="250" xfId="0" applyFont="1" applyBorder="1" applyAlignment="1" applyProtection="1">
      <alignment horizontal="center" vertical="center"/>
      <protection locked="0"/>
    </xf>
    <xf numFmtId="0" fontId="0" fillId="0" borderId="250" xfId="0" applyBorder="1" applyAlignment="1" applyProtection="1">
      <alignment horizontal="center" vertical="center"/>
      <protection locked="0"/>
    </xf>
    <xf numFmtId="0" fontId="3" fillId="0" borderId="255" xfId="0" applyFont="1" applyBorder="1" applyAlignment="1" applyProtection="1">
      <alignment horizontal="right" vertical="center"/>
      <protection hidden="1"/>
    </xf>
    <xf numFmtId="0" fontId="0" fillId="0" borderId="248" xfId="0" applyFont="1" applyBorder="1" applyAlignment="1" applyProtection="1">
      <alignment/>
      <protection hidden="1"/>
    </xf>
    <xf numFmtId="0" fontId="0" fillId="0" borderId="249" xfId="0" applyFont="1" applyBorder="1" applyAlignment="1" applyProtection="1">
      <alignment/>
      <protection hidden="1"/>
    </xf>
    <xf numFmtId="0" fontId="3" fillId="3" borderId="143" xfId="0" applyFont="1" applyFill="1" applyBorder="1" applyAlignment="1" applyProtection="1">
      <alignment horizontal="center" vertical="center"/>
      <protection locked="0"/>
    </xf>
    <xf numFmtId="0" fontId="3" fillId="3" borderId="144" xfId="0" applyFont="1" applyFill="1" applyBorder="1" applyAlignment="1" applyProtection="1">
      <alignment horizontal="center" vertical="center"/>
      <protection locked="0"/>
    </xf>
    <xf numFmtId="0" fontId="3" fillId="3" borderId="142" xfId="0" applyFont="1" applyFill="1" applyBorder="1" applyAlignment="1" applyProtection="1">
      <alignment horizontal="center" vertical="center"/>
      <protection locked="0"/>
    </xf>
    <xf numFmtId="0" fontId="3" fillId="0" borderId="145" xfId="0" applyFont="1" applyFill="1" applyBorder="1" applyAlignment="1" applyProtection="1">
      <alignment horizontal="right" vertical="center"/>
      <protection hidden="1"/>
    </xf>
    <xf numFmtId="0" fontId="3" fillId="0" borderId="255" xfId="0" applyFont="1" applyBorder="1" applyAlignment="1" applyProtection="1">
      <alignment horizontal="right"/>
      <protection hidden="1"/>
    </xf>
    <xf numFmtId="164" fontId="15" fillId="3" borderId="257" xfId="0" applyNumberFormat="1" applyFont="1" applyFill="1" applyBorder="1" applyAlignment="1" applyProtection="1">
      <alignment horizontal="center" vertical="center"/>
      <protection hidden="1" locked="0"/>
    </xf>
    <xf numFmtId="0" fontId="27" fillId="3" borderId="258" xfId="0" applyFont="1" applyFill="1" applyBorder="1" applyAlignment="1" applyProtection="1">
      <alignment/>
      <protection hidden="1" locked="0"/>
    </xf>
    <xf numFmtId="165" fontId="15" fillId="3" borderId="241" xfId="0" applyNumberFormat="1" applyFont="1" applyFill="1" applyBorder="1" applyAlignment="1" applyProtection="1">
      <alignment horizontal="center" vertical="center"/>
      <protection locked="0"/>
    </xf>
    <xf numFmtId="0" fontId="27" fillId="3" borderId="244" xfId="0" applyFont="1" applyFill="1" applyBorder="1" applyAlignment="1" applyProtection="1">
      <alignment/>
      <protection locked="0"/>
    </xf>
    <xf numFmtId="0" fontId="27" fillId="3" borderId="245" xfId="0" applyFont="1" applyFill="1" applyBorder="1" applyAlignment="1" applyProtection="1">
      <alignment/>
      <protection locked="0"/>
    </xf>
    <xf numFmtId="0" fontId="3" fillId="0" borderId="145" xfId="0" applyFont="1" applyBorder="1" applyAlignment="1" applyProtection="1">
      <alignment horizontal="right" vertical="center"/>
      <protection hidden="1"/>
    </xf>
    <xf numFmtId="0" fontId="3" fillId="0" borderId="259" xfId="0" applyFont="1" applyBorder="1" applyAlignment="1" applyProtection="1">
      <alignment horizontal="right" vertical="center"/>
      <protection hidden="1"/>
    </xf>
    <xf numFmtId="0" fontId="0" fillId="0" borderId="260" xfId="0" applyBorder="1" applyAlignment="1" applyProtection="1">
      <alignment/>
      <protection hidden="1"/>
    </xf>
    <xf numFmtId="0" fontId="0" fillId="0" borderId="261" xfId="0" applyBorder="1" applyAlignment="1" applyProtection="1">
      <alignment/>
      <protection hidden="1"/>
    </xf>
    <xf numFmtId="0" fontId="17" fillId="0" borderId="241" xfId="0" applyFont="1" applyBorder="1" applyAlignment="1" applyProtection="1">
      <alignment horizontal="center" vertical="center"/>
      <protection hidden="1"/>
    </xf>
    <xf numFmtId="9" fontId="3" fillId="4" borderId="241" xfId="0" applyNumberFormat="1" applyFont="1" applyFill="1" applyBorder="1" applyAlignment="1" applyProtection="1">
      <alignment horizontal="center" vertical="center"/>
      <protection hidden="1"/>
    </xf>
    <xf numFmtId="9" fontId="0" fillId="0" borderId="242" xfId="0" applyNumberFormat="1" applyFont="1" applyBorder="1" applyAlignment="1" applyProtection="1">
      <alignment/>
      <protection hidden="1"/>
    </xf>
    <xf numFmtId="0" fontId="11" fillId="0" borderId="158" xfId="0" applyFont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0" fontId="0" fillId="0" borderId="262" xfId="0" applyBorder="1" applyAlignment="1">
      <alignment horizontal="center" vertical="center" wrapText="1"/>
    </xf>
    <xf numFmtId="0" fontId="0" fillId="0" borderId="158" xfId="0" applyBorder="1" applyAlignment="1">
      <alignment horizontal="center" vertical="center" wrapText="1"/>
    </xf>
    <xf numFmtId="0" fontId="11" fillId="0" borderId="255" xfId="0" applyFont="1" applyFill="1" applyBorder="1" applyAlignment="1" applyProtection="1">
      <alignment horizontal="right" vertical="center"/>
      <protection hidden="1"/>
    </xf>
    <xf numFmtId="0" fontId="6" fillId="0" borderId="248" xfId="0" applyFont="1" applyBorder="1" applyAlignment="1">
      <alignment/>
    </xf>
    <xf numFmtId="0" fontId="6" fillId="0" borderId="249" xfId="0" applyFont="1" applyBorder="1" applyAlignment="1">
      <alignment/>
    </xf>
    <xf numFmtId="0" fontId="11" fillId="0" borderId="6" xfId="0" applyFont="1" applyFill="1" applyBorder="1" applyAlignment="1" applyProtection="1">
      <alignment horizontal="right" vertical="center"/>
      <protection hidden="1"/>
    </xf>
    <xf numFmtId="0" fontId="6" fillId="0" borderId="146" xfId="0" applyFont="1" applyBorder="1" applyAlignment="1" applyProtection="1">
      <alignment/>
      <protection hidden="1"/>
    </xf>
    <xf numFmtId="0" fontId="6" fillId="0" borderId="49" xfId="0" applyFont="1" applyBorder="1" applyAlignment="1" applyProtection="1">
      <alignment/>
      <protection hidden="1"/>
    </xf>
    <xf numFmtId="184" fontId="3" fillId="3" borderId="158" xfId="0" applyNumberFormat="1" applyFont="1" applyFill="1" applyBorder="1" applyAlignment="1" applyProtection="1">
      <alignment horizontal="center" vertical="center"/>
      <protection locked="0"/>
    </xf>
    <xf numFmtId="0" fontId="0" fillId="0" borderId="262" xfId="0" applyBorder="1" applyAlignment="1" applyProtection="1">
      <alignment horizontal="center" vertical="center"/>
      <protection locked="0"/>
    </xf>
    <xf numFmtId="9" fontId="17" fillId="4" borderId="150" xfId="0" applyNumberFormat="1" applyFont="1" applyFill="1" applyBorder="1" applyAlignment="1" applyProtection="1">
      <alignment horizontal="center" vertical="center"/>
      <protection hidden="1"/>
    </xf>
    <xf numFmtId="0" fontId="19" fillId="0" borderId="254" xfId="0" applyFont="1" applyBorder="1" applyAlignment="1" applyProtection="1">
      <alignment/>
      <protection hidden="1"/>
    </xf>
    <xf numFmtId="0" fontId="0" fillId="0" borderId="256" xfId="0" applyBorder="1" applyAlignment="1">
      <alignment/>
    </xf>
    <xf numFmtId="177" fontId="12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0" fillId="0" borderId="163" xfId="0" applyBorder="1" applyAlignment="1">
      <alignment/>
    </xf>
    <xf numFmtId="177" fontId="11" fillId="0" borderId="52" xfId="0" applyNumberFormat="1" applyFont="1" applyFill="1" applyBorder="1" applyAlignment="1" applyProtection="1">
      <alignment horizontal="center" vertical="center" wrapText="1"/>
      <protection hidden="1"/>
    </xf>
    <xf numFmtId="177" fontId="11" fillId="0" borderId="0" xfId="0" applyNumberFormat="1" applyFont="1" applyFill="1" applyAlignment="1" applyProtection="1">
      <alignment horizontal="center" vertical="center" wrapText="1"/>
      <protection hidden="1"/>
    </xf>
    <xf numFmtId="177" fontId="0" fillId="0" borderId="52" xfId="0" applyNumberFormat="1" applyFill="1" applyBorder="1" applyAlignment="1" applyProtection="1">
      <alignment horizontal="center" vertical="center" wrapText="1"/>
      <protection hidden="1"/>
    </xf>
    <xf numFmtId="177" fontId="0" fillId="0" borderId="0" xfId="0" applyNumberFormat="1" applyFill="1" applyAlignment="1" applyProtection="1">
      <alignment horizontal="center" vertical="center" wrapText="1"/>
      <protection hidden="1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263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263" xfId="0" applyBorder="1" applyAlignment="1">
      <alignment horizontal="center" vertical="center"/>
    </xf>
    <xf numFmtId="0" fontId="11" fillId="0" borderId="263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0" fillId="0" borderId="264" xfId="0" applyBorder="1" applyAlignment="1">
      <alignment horizontal="center" vertical="center"/>
    </xf>
    <xf numFmtId="0" fontId="11" fillId="0" borderId="158" xfId="0" applyFont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horizontal="center" vertical="center"/>
      <protection hidden="1"/>
    </xf>
    <xf numFmtId="0" fontId="0" fillId="0" borderId="262" xfId="0" applyBorder="1" applyAlignment="1">
      <alignment horizontal="center" vertical="center"/>
    </xf>
    <xf numFmtId="0" fontId="3" fillId="0" borderId="265" xfId="0" applyFont="1" applyFill="1" applyBorder="1" applyAlignment="1" applyProtection="1">
      <alignment horizontal="right" vertical="center"/>
      <protection hidden="1"/>
    </xf>
    <xf numFmtId="0" fontId="0" fillId="0" borderId="266" xfId="0" applyBorder="1" applyAlignment="1" applyProtection="1">
      <alignment/>
      <protection hidden="1"/>
    </xf>
    <xf numFmtId="0" fontId="0" fillId="0" borderId="267" xfId="0" applyBorder="1" applyAlignment="1" applyProtection="1">
      <alignment/>
      <protection hidden="1"/>
    </xf>
    <xf numFmtId="0" fontId="3" fillId="3" borderId="241" xfId="0" applyFont="1" applyFill="1" applyBorder="1" applyAlignment="1" applyProtection="1">
      <alignment horizontal="center" vertical="center"/>
      <protection locked="0"/>
    </xf>
    <xf numFmtId="0" fontId="3" fillId="3" borderId="244" xfId="0" applyFont="1" applyFill="1" applyBorder="1" applyAlignment="1" applyProtection="1">
      <alignment horizontal="center" vertical="center"/>
      <protection locked="0"/>
    </xf>
    <xf numFmtId="0" fontId="3" fillId="3" borderId="245" xfId="0" applyFont="1" applyFill="1" applyBorder="1" applyAlignment="1" applyProtection="1">
      <alignment horizontal="center" vertical="center"/>
      <protection locked="0"/>
    </xf>
    <xf numFmtId="0" fontId="0" fillId="0" borderId="146" xfId="0" applyFont="1" applyBorder="1" applyAlignment="1" applyProtection="1">
      <alignment/>
      <protection hidden="1"/>
    </xf>
    <xf numFmtId="0" fontId="0" fillId="0" borderId="49" xfId="0" applyFont="1" applyBorder="1" applyAlignment="1" applyProtection="1">
      <alignment/>
      <protection hidden="1"/>
    </xf>
    <xf numFmtId="165" fontId="17" fillId="4" borderId="6" xfId="0" applyNumberFormat="1" applyFont="1" applyFill="1" applyBorder="1" applyAlignment="1" applyProtection="1">
      <alignment horizontal="center" vertical="center"/>
      <protection hidden="1"/>
    </xf>
    <xf numFmtId="0" fontId="19" fillId="0" borderId="146" xfId="0" applyFont="1" applyBorder="1" applyAlignment="1" applyProtection="1">
      <alignment/>
      <protection hidden="1"/>
    </xf>
    <xf numFmtId="0" fontId="19" fillId="0" borderId="49" xfId="0" applyFont="1" applyBorder="1" applyAlignment="1" applyProtection="1">
      <alignment/>
      <protection hidden="1"/>
    </xf>
    <xf numFmtId="165" fontId="28" fillId="4" borderId="6" xfId="0" applyNumberFormat="1" applyFont="1" applyFill="1" applyBorder="1" applyAlignment="1" applyProtection="1">
      <alignment horizontal="center" vertical="center"/>
      <protection hidden="1"/>
    </xf>
    <xf numFmtId="9" fontId="28" fillId="4" borderId="255" xfId="0" applyNumberFormat="1" applyFont="1" applyFill="1" applyBorder="1" applyAlignment="1" applyProtection="1">
      <alignment horizontal="center" vertical="center"/>
      <protection hidden="1"/>
    </xf>
    <xf numFmtId="0" fontId="19" fillId="0" borderId="248" xfId="0" applyFont="1" applyBorder="1" applyAlignment="1" applyProtection="1">
      <alignment/>
      <protection hidden="1"/>
    </xf>
    <xf numFmtId="0" fontId="19" fillId="0" borderId="249" xfId="0" applyFont="1" applyBorder="1" applyAlignment="1" applyProtection="1">
      <alignment/>
      <protection hidden="1"/>
    </xf>
    <xf numFmtId="0" fontId="17" fillId="0" borderId="243" xfId="0" applyFont="1" applyFill="1" applyBorder="1" applyAlignment="1" applyProtection="1">
      <alignment horizontal="center" vertical="center"/>
      <protection hidden="1"/>
    </xf>
    <xf numFmtId="0" fontId="3" fillId="0" borderId="247" xfId="0" applyFont="1" applyBorder="1" applyAlignment="1" applyProtection="1">
      <alignment horizontal="right" vertical="center"/>
      <protection hidden="1"/>
    </xf>
    <xf numFmtId="0" fontId="0" fillId="0" borderId="248" xfId="0" applyBorder="1" applyAlignment="1">
      <alignment horizontal="right" vertical="center"/>
    </xf>
    <xf numFmtId="0" fontId="0" fillId="0" borderId="249" xfId="0" applyBorder="1" applyAlignment="1">
      <alignment horizontal="right" vertical="center"/>
    </xf>
    <xf numFmtId="0" fontId="11" fillId="0" borderId="145" xfId="0" applyFont="1" applyFill="1" applyBorder="1" applyAlignment="1" applyProtection="1">
      <alignment horizontal="right" vertical="center"/>
      <protection hidden="1"/>
    </xf>
    <xf numFmtId="0" fontId="11" fillId="0" borderId="146" xfId="0" applyFont="1" applyFill="1" applyBorder="1" applyAlignment="1" applyProtection="1">
      <alignment horizontal="right" vertical="center"/>
      <protection hidden="1"/>
    </xf>
    <xf numFmtId="0" fontId="11" fillId="0" borderId="49" xfId="0" applyFont="1" applyFill="1" applyBorder="1" applyAlignment="1" applyProtection="1">
      <alignment horizontal="right" vertical="center"/>
      <protection hidden="1"/>
    </xf>
    <xf numFmtId="0" fontId="0" fillId="0" borderId="242" xfId="0" applyFont="1" applyBorder="1" applyAlignment="1">
      <alignment/>
    </xf>
    <xf numFmtId="0" fontId="3" fillId="0" borderId="0" xfId="0" applyFont="1" applyAlignment="1" applyProtection="1">
      <alignment wrapText="1"/>
      <protection hidden="1"/>
    </xf>
    <xf numFmtId="0" fontId="79" fillId="0" borderId="268" xfId="0" applyFont="1" applyFill="1" applyBorder="1" applyAlignment="1" applyProtection="1">
      <alignment horizontal="left" vertical="center"/>
      <protection hidden="1"/>
    </xf>
    <xf numFmtId="0" fontId="19" fillId="0" borderId="269" xfId="0" applyFont="1" applyBorder="1" applyAlignment="1">
      <alignment/>
    </xf>
    <xf numFmtId="0" fontId="19" fillId="0" borderId="270" xfId="0" applyFont="1" applyBorder="1" applyAlignment="1">
      <alignment/>
    </xf>
    <xf numFmtId="3" fontId="3" fillId="2" borderId="255" xfId="0" applyNumberFormat="1" applyFont="1" applyFill="1" applyBorder="1" applyAlignment="1" applyProtection="1">
      <alignment horizontal="center"/>
      <protection hidden="1" locked="0"/>
    </xf>
    <xf numFmtId="0" fontId="0" fillId="0" borderId="256" xfId="0" applyFont="1" applyBorder="1" applyAlignment="1" applyProtection="1">
      <alignment/>
      <protection hidden="1" locked="0"/>
    </xf>
    <xf numFmtId="3" fontId="3" fillId="4" borderId="255" xfId="0" applyNumberFormat="1" applyFont="1" applyFill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right" vertical="center"/>
      <protection hidden="1"/>
    </xf>
    <xf numFmtId="0" fontId="3" fillId="0" borderId="243" xfId="0" applyFont="1" applyFill="1" applyBorder="1" applyAlignment="1" applyProtection="1">
      <alignment horizontal="right" vertical="center"/>
      <protection hidden="1"/>
    </xf>
    <xf numFmtId="0" fontId="0" fillId="0" borderId="152" xfId="0" applyBorder="1" applyAlignment="1" applyProtection="1">
      <alignment/>
      <protection hidden="1"/>
    </xf>
    <xf numFmtId="0" fontId="11" fillId="0" borderId="6" xfId="0" applyFont="1" applyBorder="1" applyAlignment="1" applyProtection="1">
      <alignment horizontal="right" vertical="center"/>
      <protection hidden="1"/>
    </xf>
    <xf numFmtId="0" fontId="18" fillId="0" borderId="271" xfId="0" applyFont="1" applyBorder="1" applyAlignment="1" applyProtection="1">
      <alignment horizontal="left" vertical="center"/>
      <protection hidden="1"/>
    </xf>
    <xf numFmtId="0" fontId="19" fillId="0" borderId="189" xfId="0" applyFont="1" applyBorder="1" applyAlignment="1" applyProtection="1">
      <alignment horizontal="left" vertical="center"/>
      <protection hidden="1"/>
    </xf>
    <xf numFmtId="0" fontId="0" fillId="0" borderId="189" xfId="0" applyBorder="1" applyAlignment="1" applyProtection="1">
      <alignment horizontal="left" vertical="center"/>
      <protection hidden="1"/>
    </xf>
    <xf numFmtId="0" fontId="0" fillId="0" borderId="272" xfId="0" applyBorder="1" applyAlignment="1" applyProtection="1">
      <alignment horizontal="left" vertical="center"/>
      <protection hidden="1"/>
    </xf>
    <xf numFmtId="164" fontId="0" fillId="0" borderId="0" xfId="0" applyNumberForma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center"/>
    </xf>
    <xf numFmtId="3" fontId="0" fillId="3" borderId="0" xfId="0" applyNumberFormat="1" applyFill="1" applyAlignment="1" applyProtection="1">
      <alignment horizontal="left"/>
      <protection locked="0"/>
    </xf>
    <xf numFmtId="165" fontId="3" fillId="4" borderId="15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262" xfId="0" applyBorder="1" applyAlignment="1" applyProtection="1">
      <alignment horizontal="center" vertical="center" wrapText="1"/>
      <protection hidden="1"/>
    </xf>
    <xf numFmtId="177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3" fillId="2" borderId="158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 applyProtection="1">
      <alignment horizontal="left"/>
      <protection locked="0"/>
    </xf>
    <xf numFmtId="3" fontId="0" fillId="3" borderId="0" xfId="0" applyNumberFormat="1" applyFill="1" applyAlignment="1" applyProtection="1">
      <alignment horizontal="left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mall Water System Expense Budget" xfId="21"/>
    <cellStyle name="Percent" xfId="22"/>
  </cellStyles>
  <dxfs count="27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  <dxf>
      <fill>
        <patternFill patternType="gray0625">
          <bgColor rgb="FFFF99CC"/>
        </patternFill>
      </fill>
      <border/>
    </dxf>
    <dxf>
      <font>
        <color rgb="FFFF0000"/>
      </font>
      <fill>
        <patternFill>
          <bgColor rgb="FFFF99CC"/>
        </patternFill>
      </fill>
      <border/>
    </dxf>
    <dxf>
      <font>
        <b/>
        <i val="0"/>
        <color rgb="FFFF0000"/>
      </font>
      <fill>
        <patternFill>
          <bgColor rgb="FFFF99CC"/>
        </patternFill>
      </fill>
      <border/>
    </dxf>
    <dxf>
      <fill>
        <patternFill>
          <bgColor rgb="FFFF00FF"/>
        </patternFill>
      </fill>
      <border/>
    </dxf>
    <dxf>
      <fill>
        <patternFill patternType="lightVertical">
          <bgColor rgb="FFFF0000"/>
        </patternFill>
      </fill>
      <border/>
    </dxf>
    <dxf>
      <fill>
        <patternFill patternType="lightVertical">
          <bgColor rgb="FFFF99CC"/>
        </patternFill>
      </fill>
      <border/>
    </dxf>
    <dxf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00"/>
        </patternFill>
      </fill>
      <border/>
    </dxf>
    <dxf>
      <fill>
        <patternFill>
          <bgColor rgb="FFFF99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border/>
    </dxf>
    <dxf>
      <fill>
        <patternFill patternType="gray0625">
          <bgColor rgb="FFFF9900"/>
        </patternFill>
      </fill>
      <border/>
    </dxf>
    <dxf>
      <fill>
        <patternFill>
          <bgColor rgb="FF00FF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 patternType="solid">
          <bgColor rgb="FFFFFF99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FF99"/>
      </font>
      <border/>
    </dxf>
    <dxf>
      <font>
        <b/>
        <i val="0"/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99CC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</border>
    </dxf>
    <dxf>
      <fill>
        <patternFill>
          <bgColor rgb="FFFFFF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lightVertical">
          <bgColor rgb="FF00CCFF"/>
        </patternFill>
      </fill>
      <border/>
    </dxf>
    <dxf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Impact of Inflation Over Next 5 Years</a:t>
            </a:r>
          </a:p>
        </c:rich>
      </c:tx>
      <c:layout>
        <c:manualLayout>
          <c:xMode val="factor"/>
          <c:yMode val="factor"/>
          <c:x val="0.017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21"/>
          <c:w val="0.97575"/>
          <c:h val="0.8565"/>
        </c:manualLayout>
      </c:layout>
      <c:barChart>
        <c:barDir val="col"/>
        <c:grouping val="stack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$&quot;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Budget!$K$2:$O$2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'Budget Graphs'!$C$49:$G$49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&quot;$&quot;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Budget!$K$2:$O$2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'Budget Graphs'!$C$48:$G$48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250"/>
        <c:axId val="1027035"/>
        <c:axId val="9243316"/>
      </c:barChart>
      <c:catAx>
        <c:axId val="1027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43316"/>
        <c:crosses val="autoZero"/>
        <c:auto val="1"/>
        <c:lblOffset val="100"/>
        <c:noMultiLvlLbl val="0"/>
      </c:catAx>
      <c:valAx>
        <c:axId val="9243316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1027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00"/>
      <c:rotY val="0"/>
      <c:depthPercent val="100"/>
      <c:rAngAx val="1"/>
    </c:view3D>
    <c:plotArea>
      <c:layout>
        <c:manualLayout>
          <c:xMode val="edge"/>
          <c:yMode val="edge"/>
          <c:x val="0.2025"/>
          <c:y val="0.3705"/>
          <c:w val="0.42625"/>
          <c:h val="0.419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4"/>
          </c:dPt>
          <c:dPt>
            <c:idx val="7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'Budget Graphs'!$Q$1:$X$1</c:f>
              <c:strCache/>
            </c:strRef>
          </c:cat>
          <c:val>
            <c:numRef>
              <c:f>'Budget Graphs'!$Q$2:$X$2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025"/>
          <c:y val="0.27525"/>
          <c:w val="0.3935"/>
          <c:h val="0.450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&quot;$&quot;#,##0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multiLvlStrRef>
              <c:f>Budget!$A$68:$C$73</c:f>
              <c:multiLvlStrCache>
                <c:ptCount val="5"/>
                <c:lvl>
                  <c:pt idx="0">
                    <c:v>Equipment Replacement</c:v>
                  </c:pt>
                  <c:pt idx="1">
                    <c:v>Emergency Reserve</c:v>
                  </c:pt>
                  <c:pt idx="2">
                    <c:v>Operating Reserve </c:v>
                  </c:pt>
                  <c:pt idx="3">
                    <c:v>New Projects</c:v>
                  </c:pt>
                  <c:pt idx="4">
                    <c:v>RD Debt Service Reserve</c:v>
                  </c:pt>
                </c:lvl>
              </c:multiLvlStrCache>
            </c:multiLvlStrRef>
          </c:cat>
          <c:val>
            <c:numRef>
              <c:f>Budget!$E$68:$E$73</c:f>
              <c:numCache>
                <c:ptCount val="6"/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0.41275</cdr:x>
      <cdr:y>0.08825</cdr:y>
    </cdr:from>
    <cdr:to>
      <cdr:x>0.629</cdr:x>
      <cdr:y>0.15</cdr:y>
    </cdr:to>
    <cdr:sp>
      <cdr:nvSpPr>
        <cdr:cNvPr id="1" name="TextBox 2"/>
        <cdr:cNvSpPr txBox="1">
          <a:spLocks noChangeArrowheads="1"/>
        </cdr:cNvSpPr>
      </cdr:nvSpPr>
      <cdr:spPr>
        <a:xfrm>
          <a:off x="2809875" y="323850"/>
          <a:ext cx="1476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Total Inflation Cost:</a:t>
          </a:r>
        </a:p>
      </cdr:txBody>
    </cdr:sp>
  </cdr:relSizeAnchor>
  <cdr:relSizeAnchor xmlns:cdr="http://schemas.openxmlformats.org/drawingml/2006/chartDrawing">
    <cdr:from>
      <cdr:x>0.61675</cdr:x>
      <cdr:y>0.08825</cdr:y>
    </cdr:from>
    <cdr:to>
      <cdr:x>0.75375</cdr:x>
      <cdr:y>0.1445</cdr:y>
    </cdr:to>
    <cdr:sp textlink="'Budget Graphs'!$H$35">
      <cdr:nvSpPr>
        <cdr:cNvPr id="2" name="TextBox 3"/>
        <cdr:cNvSpPr txBox="1">
          <a:spLocks noChangeArrowheads="1"/>
        </cdr:cNvSpPr>
      </cdr:nvSpPr>
      <cdr:spPr>
        <a:xfrm>
          <a:off x="4210050" y="323850"/>
          <a:ext cx="933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18bca0e-a3a2-4957-80ff-6e4fed858d2b}" type="TxLink">
            <a:rPr lang="en-US" cap="none" sz="12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$0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0.0045</cdr:y>
    </cdr:from>
    <cdr:to>
      <cdr:x>0.9735</cdr:x>
      <cdr:y>0.06125</cdr:y>
    </cdr:to>
    <cdr:sp textlink="'Budget Graphs'!$H$1">
      <cdr:nvSpPr>
        <cdr:cNvPr id="1" name="TextBox 1"/>
        <cdr:cNvSpPr txBox="1">
          <a:spLocks noChangeArrowheads="1"/>
        </cdr:cNvSpPr>
      </cdr:nvSpPr>
      <cdr:spPr>
        <a:xfrm>
          <a:off x="5734050" y="9525"/>
          <a:ext cx="866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47f9fd79-3707-48ed-a49c-599a2b76ed98}" type="TxLink">
            <a:rPr lang="en-US" cap="none" sz="12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$0</a:t>
          </a:fld>
        </a:p>
      </cdr:txBody>
    </cdr:sp>
  </cdr:relSizeAnchor>
  <cdr:relSizeAnchor xmlns:cdr="http://schemas.openxmlformats.org/drawingml/2006/chartDrawing">
    <cdr:from>
      <cdr:x>0.84625</cdr:x>
      <cdr:y>0.0765</cdr:y>
    </cdr:from>
    <cdr:to>
      <cdr:x>0.96275</cdr:x>
      <cdr:y>0.13375</cdr:y>
    </cdr:to>
    <cdr:sp textlink="'Budget Graphs'!$H$2">
      <cdr:nvSpPr>
        <cdr:cNvPr id="2" name="TextBox 2"/>
        <cdr:cNvSpPr txBox="1">
          <a:spLocks noChangeArrowheads="1"/>
        </cdr:cNvSpPr>
      </cdr:nvSpPr>
      <cdr:spPr>
        <a:xfrm>
          <a:off x="5734050" y="247650"/>
          <a:ext cx="790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6a697baf-d33b-41c1-9ca1-440d4876c9ca}" type="TxLink">
            <a:rPr lang="en-US" cap="none" sz="12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$0</a:t>
          </a:fld>
        </a:p>
      </cdr:txBody>
    </cdr:sp>
  </cdr:relSizeAnchor>
  <cdr:relSizeAnchor xmlns:cdr="http://schemas.openxmlformats.org/drawingml/2006/chartDrawing">
    <cdr:from>
      <cdr:x>0.706</cdr:x>
      <cdr:y>0.0145</cdr:y>
    </cdr:from>
    <cdr:to>
      <cdr:x>0.8325</cdr:x>
      <cdr:y>0.0715</cdr:y>
    </cdr:to>
    <cdr:sp>
      <cdr:nvSpPr>
        <cdr:cNvPr id="3" name="TextBox 3"/>
        <cdr:cNvSpPr txBox="1">
          <a:spLocks noChangeArrowheads="1"/>
        </cdr:cNvSpPr>
      </cdr:nvSpPr>
      <cdr:spPr>
        <a:xfrm>
          <a:off x="4781550" y="47625"/>
          <a:ext cx="857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Total Budget:</a:t>
          </a:r>
        </a:p>
      </cdr:txBody>
    </cdr:sp>
  </cdr:relSizeAnchor>
  <cdr:relSizeAnchor xmlns:cdr="http://schemas.openxmlformats.org/drawingml/2006/chartDrawing">
    <cdr:from>
      <cdr:x>0.688</cdr:x>
      <cdr:y>0.13375</cdr:y>
    </cdr:from>
    <cdr:to>
      <cdr:x>0.69925</cdr:x>
      <cdr:y>0.19925</cdr:y>
    </cdr:to>
    <cdr:sp>
      <cdr:nvSpPr>
        <cdr:cNvPr id="4" name="TextBox 4"/>
        <cdr:cNvSpPr txBox="1">
          <a:spLocks noChangeArrowheads="1"/>
        </cdr:cNvSpPr>
      </cdr:nvSpPr>
      <cdr:spPr>
        <a:xfrm>
          <a:off x="4657725" y="43815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0.5585</cdr:x>
      <cdr:y>0.08825</cdr:y>
    </cdr:from>
    <cdr:to>
      <cdr:x>0.82675</cdr:x>
      <cdr:y>0.14525</cdr:y>
    </cdr:to>
    <cdr:sp>
      <cdr:nvSpPr>
        <cdr:cNvPr id="5" name="TextBox 5"/>
        <cdr:cNvSpPr txBox="1">
          <a:spLocks noChangeArrowheads="1"/>
        </cdr:cNvSpPr>
      </cdr:nvSpPr>
      <cdr:spPr>
        <a:xfrm>
          <a:off x="3781425" y="285750"/>
          <a:ext cx="1819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Revenues Needed from Rates:</a:t>
          </a:r>
        </a:p>
      </cdr:txBody>
    </cdr:sp>
  </cdr:relSizeAnchor>
  <cdr:relSizeAnchor xmlns:cdr="http://schemas.openxmlformats.org/drawingml/2006/chartDrawing">
    <cdr:from>
      <cdr:x>0.0135</cdr:x>
      <cdr:y>0.01975</cdr:y>
    </cdr:from>
    <cdr:to>
      <cdr:x>0.08525</cdr:x>
      <cdr:y>0.0765</cdr:y>
    </cdr:to>
    <cdr:sp textlink="'Budget Graphs'!$B$1">
      <cdr:nvSpPr>
        <cdr:cNvPr id="6" name="TextBox 6"/>
        <cdr:cNvSpPr txBox="1">
          <a:spLocks noChangeArrowheads="1"/>
        </cdr:cNvSpPr>
      </cdr:nvSpPr>
      <cdr:spPr>
        <a:xfrm>
          <a:off x="85725" y="57150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c597237-eba6-4b5f-a9a3-9afb687ff43a}" type="TxLink">
            <a:rPr lang="en-US" cap="none" sz="1400" b="1" i="0" u="none" baseline="0">
              <a:latin typeface="Arial"/>
              <a:ea typeface="Arial"/>
              <a:cs typeface="Arial"/>
            </a:rPr>
            <a:t>2008</a:t>
          </a:fld>
        </a:p>
      </cdr:txBody>
    </cdr:sp>
  </cdr:relSizeAnchor>
  <cdr:relSizeAnchor xmlns:cdr="http://schemas.openxmlformats.org/drawingml/2006/chartDrawing">
    <cdr:from>
      <cdr:x>0.07675</cdr:x>
      <cdr:y>0.02</cdr:y>
    </cdr:from>
    <cdr:to>
      <cdr:x>0.17925</cdr:x>
      <cdr:y>0.094</cdr:y>
    </cdr:to>
    <cdr:sp>
      <cdr:nvSpPr>
        <cdr:cNvPr id="7" name="TextBox 7"/>
        <cdr:cNvSpPr txBox="1">
          <a:spLocks noChangeArrowheads="1"/>
        </cdr:cNvSpPr>
      </cdr:nvSpPr>
      <cdr:spPr>
        <a:xfrm>
          <a:off x="514350" y="66675"/>
          <a:ext cx="695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350" b="1" i="0" u="none" baseline="0">
              <a:latin typeface="Arial"/>
              <a:ea typeface="Arial"/>
              <a:cs typeface="Arial"/>
            </a:rPr>
            <a:t>Budget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0.01375</cdr:y>
    </cdr:from>
    <cdr:to>
      <cdr:x>0.11175</cdr:x>
      <cdr:y>0.114</cdr:y>
    </cdr:to>
    <cdr:sp textlink="'Budget Graphs'!$C$20">
      <cdr:nvSpPr>
        <cdr:cNvPr id="1" name="TextBox 1"/>
        <cdr:cNvSpPr txBox="1">
          <a:spLocks noChangeArrowheads="1"/>
        </cdr:cNvSpPr>
      </cdr:nvSpPr>
      <cdr:spPr>
        <a:xfrm>
          <a:off x="180975" y="28575"/>
          <a:ext cx="5715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75915cd-7be7-4ecd-88ef-65d23f176fa5}" type="TxLink">
            <a:rPr lang="en-US" cap="none" sz="1400" b="1" i="0" u="none" baseline="0">
              <a:latin typeface="Arial"/>
              <a:ea typeface="Arial"/>
              <a:cs typeface="Arial"/>
            </a:rPr>
            <a:t>2008</a:t>
          </a:fld>
        </a:p>
      </cdr:txBody>
    </cdr:sp>
  </cdr:relSizeAnchor>
  <cdr:relSizeAnchor xmlns:cdr="http://schemas.openxmlformats.org/drawingml/2006/chartDrawing">
    <cdr:from>
      <cdr:x>0.10525</cdr:x>
      <cdr:y>0.01375</cdr:y>
    </cdr:from>
    <cdr:to>
      <cdr:x>0.23325</cdr:x>
      <cdr:y>0.1225</cdr:y>
    </cdr:to>
    <cdr:sp>
      <cdr:nvSpPr>
        <cdr:cNvPr id="2" name="TextBox 2"/>
        <cdr:cNvSpPr txBox="1">
          <a:spLocks noChangeArrowheads="1"/>
        </cdr:cNvSpPr>
      </cdr:nvSpPr>
      <cdr:spPr>
        <a:xfrm>
          <a:off x="704850" y="28575"/>
          <a:ext cx="866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350" b="1" i="0" u="none" baseline="0">
              <a:latin typeface="Arial"/>
              <a:ea typeface="Arial"/>
              <a:cs typeface="Arial"/>
            </a:rPr>
            <a:t>Reserves</a:t>
          </a:r>
        </a:p>
      </cdr:txBody>
    </cdr:sp>
  </cdr:relSizeAnchor>
  <cdr:relSizeAnchor xmlns:cdr="http://schemas.openxmlformats.org/drawingml/2006/chartDrawing">
    <cdr:from>
      <cdr:x>0.88375</cdr:x>
      <cdr:y>0.0035</cdr:y>
    </cdr:from>
    <cdr:to>
      <cdr:x>0.9905</cdr:x>
      <cdr:y>0.11325</cdr:y>
    </cdr:to>
    <cdr:sp textlink="'Budget Graphs'!$H$20">
      <cdr:nvSpPr>
        <cdr:cNvPr id="3" name="TextBox 3"/>
        <cdr:cNvSpPr txBox="1">
          <a:spLocks noChangeArrowheads="1"/>
        </cdr:cNvSpPr>
      </cdr:nvSpPr>
      <cdr:spPr>
        <a:xfrm>
          <a:off x="5981700" y="0"/>
          <a:ext cx="7239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a715c605-e80f-4d74-9b94-792079c8a947}" type="TxLink">
            <a:rPr lang="en-US" cap="none" sz="12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$0</a:t>
          </a:fld>
        </a:p>
      </cdr:txBody>
    </cdr:sp>
  </cdr:relSizeAnchor>
  <cdr:relSizeAnchor xmlns:cdr="http://schemas.openxmlformats.org/drawingml/2006/chartDrawing">
    <cdr:from>
      <cdr:x>0.699</cdr:x>
      <cdr:y>0</cdr:y>
    </cdr:from>
    <cdr:to>
      <cdr:x>0.90425</cdr:x>
      <cdr:y>0.10875</cdr:y>
    </cdr:to>
    <cdr:sp>
      <cdr:nvSpPr>
        <cdr:cNvPr id="4" name="TextBox 4"/>
        <cdr:cNvSpPr txBox="1">
          <a:spLocks noChangeArrowheads="1"/>
        </cdr:cNvSpPr>
      </cdr:nvSpPr>
      <cdr:spPr>
        <a:xfrm>
          <a:off x="4724400" y="0"/>
          <a:ext cx="13906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350" b="1" i="0" u="none" baseline="0">
              <a:latin typeface="Arial"/>
              <a:ea typeface="Arial"/>
              <a:cs typeface="Arial"/>
            </a:rPr>
            <a:t>Total Reserves: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104775</xdr:rowOff>
    </xdr:from>
    <xdr:to>
      <xdr:col>9</xdr:col>
      <xdr:colOff>571500</xdr:colOff>
      <xdr:row>55</xdr:row>
      <xdr:rowOff>76200</xdr:rowOff>
    </xdr:to>
    <xdr:graphicFrame>
      <xdr:nvGraphicFramePr>
        <xdr:cNvPr id="1" name="Chart 1"/>
        <xdr:cNvGraphicFramePr/>
      </xdr:nvGraphicFramePr>
      <xdr:xfrm>
        <a:off x="0" y="5762625"/>
        <a:ext cx="68294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57150</xdr:rowOff>
    </xdr:from>
    <xdr:to>
      <xdr:col>9</xdr:col>
      <xdr:colOff>600075</xdr:colOff>
      <xdr:row>18</xdr:row>
      <xdr:rowOff>19050</xdr:rowOff>
    </xdr:to>
    <xdr:graphicFrame>
      <xdr:nvGraphicFramePr>
        <xdr:cNvPr id="2" name="Chart 2"/>
        <xdr:cNvGraphicFramePr/>
      </xdr:nvGraphicFramePr>
      <xdr:xfrm>
        <a:off x="76200" y="57150"/>
        <a:ext cx="67818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18</xdr:row>
      <xdr:rowOff>47625</xdr:rowOff>
    </xdr:from>
    <xdr:to>
      <xdr:col>9</xdr:col>
      <xdr:colOff>600075</xdr:colOff>
      <xdr:row>32</xdr:row>
      <xdr:rowOff>47625</xdr:rowOff>
    </xdr:to>
    <xdr:graphicFrame>
      <xdr:nvGraphicFramePr>
        <xdr:cNvPr id="3" name="Chart 3"/>
        <xdr:cNvGraphicFramePr/>
      </xdr:nvGraphicFramePr>
      <xdr:xfrm>
        <a:off x="85725" y="3429000"/>
        <a:ext cx="677227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4</xdr:row>
      <xdr:rowOff>95250</xdr:rowOff>
    </xdr:from>
    <xdr:to>
      <xdr:col>4</xdr:col>
      <xdr:colOff>400050</xdr:colOff>
      <xdr:row>6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619625" y="857250"/>
          <a:ext cx="257175" cy="276225"/>
        </a:xfrm>
        <a:prstGeom prst="rect">
          <a:avLst/>
        </a:prstGeom>
        <a:pattFill prst="pct5">
          <a:fgClr>
            <a:srgbClr val="000000"/>
          </a:fgClr>
          <a:bgClr>
            <a:srgbClr val="FF99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5</xdr:row>
      <xdr:rowOff>57150</xdr:rowOff>
    </xdr:from>
    <xdr:to>
      <xdr:col>4</xdr:col>
      <xdr:colOff>523875</xdr:colOff>
      <xdr:row>5</xdr:row>
      <xdr:rowOff>57150</xdr:rowOff>
    </xdr:to>
    <xdr:sp>
      <xdr:nvSpPr>
        <xdr:cNvPr id="2" name="Line 173"/>
        <xdr:cNvSpPr>
          <a:spLocks/>
        </xdr:cNvSpPr>
      </xdr:nvSpPr>
      <xdr:spPr>
        <a:xfrm>
          <a:off x="4914900" y="9810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104775</xdr:colOff>
      <xdr:row>30</xdr:row>
      <xdr:rowOff>28575</xdr:rowOff>
    </xdr:from>
    <xdr:to>
      <xdr:col>50</xdr:col>
      <xdr:colOff>581025</xdr:colOff>
      <xdr:row>30</xdr:row>
      <xdr:rowOff>238125</xdr:rowOff>
    </xdr:to>
    <xdr:sp>
      <xdr:nvSpPr>
        <xdr:cNvPr id="1" name="AutoShape 147"/>
        <xdr:cNvSpPr>
          <a:spLocks/>
        </xdr:cNvSpPr>
      </xdr:nvSpPr>
      <xdr:spPr>
        <a:xfrm>
          <a:off x="6934200" y="4905375"/>
          <a:ext cx="0" cy="209550"/>
        </a:xfrm>
        <a:prstGeom prst="rightArrow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31</xdr:row>
      <xdr:rowOff>28575</xdr:rowOff>
    </xdr:from>
    <xdr:to>
      <xdr:col>50</xdr:col>
      <xdr:colOff>581025</xdr:colOff>
      <xdr:row>31</xdr:row>
      <xdr:rowOff>238125</xdr:rowOff>
    </xdr:to>
    <xdr:sp>
      <xdr:nvSpPr>
        <xdr:cNvPr id="2" name="AutoShape 163"/>
        <xdr:cNvSpPr>
          <a:spLocks/>
        </xdr:cNvSpPr>
      </xdr:nvSpPr>
      <xdr:spPr>
        <a:xfrm>
          <a:off x="6934200" y="5172075"/>
          <a:ext cx="0" cy="200025"/>
        </a:xfrm>
        <a:prstGeom prst="rightArrow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32</xdr:row>
      <xdr:rowOff>28575</xdr:rowOff>
    </xdr:from>
    <xdr:to>
      <xdr:col>50</xdr:col>
      <xdr:colOff>581025</xdr:colOff>
      <xdr:row>32</xdr:row>
      <xdr:rowOff>238125</xdr:rowOff>
    </xdr:to>
    <xdr:sp>
      <xdr:nvSpPr>
        <xdr:cNvPr id="3" name="AutoShape 164"/>
        <xdr:cNvSpPr>
          <a:spLocks/>
        </xdr:cNvSpPr>
      </xdr:nvSpPr>
      <xdr:spPr>
        <a:xfrm>
          <a:off x="6934200" y="5429250"/>
          <a:ext cx="0" cy="200025"/>
        </a:xfrm>
        <a:prstGeom prst="rightArrow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34</xdr:row>
      <xdr:rowOff>28575</xdr:rowOff>
    </xdr:from>
    <xdr:to>
      <xdr:col>50</xdr:col>
      <xdr:colOff>581025</xdr:colOff>
      <xdr:row>34</xdr:row>
      <xdr:rowOff>238125</xdr:rowOff>
    </xdr:to>
    <xdr:sp>
      <xdr:nvSpPr>
        <xdr:cNvPr id="4" name="AutoShape 166"/>
        <xdr:cNvSpPr>
          <a:spLocks/>
        </xdr:cNvSpPr>
      </xdr:nvSpPr>
      <xdr:spPr>
        <a:xfrm>
          <a:off x="6934200" y="5943600"/>
          <a:ext cx="0" cy="200025"/>
        </a:xfrm>
        <a:prstGeom prst="rightArrow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35</xdr:row>
      <xdr:rowOff>28575</xdr:rowOff>
    </xdr:from>
    <xdr:to>
      <xdr:col>50</xdr:col>
      <xdr:colOff>581025</xdr:colOff>
      <xdr:row>35</xdr:row>
      <xdr:rowOff>247650</xdr:rowOff>
    </xdr:to>
    <xdr:sp>
      <xdr:nvSpPr>
        <xdr:cNvPr id="5" name="AutoShape 167"/>
        <xdr:cNvSpPr>
          <a:spLocks/>
        </xdr:cNvSpPr>
      </xdr:nvSpPr>
      <xdr:spPr>
        <a:xfrm>
          <a:off x="6934200" y="6200775"/>
          <a:ext cx="0" cy="219075"/>
        </a:xfrm>
        <a:prstGeom prst="rightArrow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36</xdr:row>
      <xdr:rowOff>28575</xdr:rowOff>
    </xdr:from>
    <xdr:to>
      <xdr:col>50</xdr:col>
      <xdr:colOff>581025</xdr:colOff>
      <xdr:row>36</xdr:row>
      <xdr:rowOff>238125</xdr:rowOff>
    </xdr:to>
    <xdr:sp>
      <xdr:nvSpPr>
        <xdr:cNvPr id="6" name="AutoShape 168"/>
        <xdr:cNvSpPr>
          <a:spLocks/>
        </xdr:cNvSpPr>
      </xdr:nvSpPr>
      <xdr:spPr>
        <a:xfrm>
          <a:off x="6934200" y="6524625"/>
          <a:ext cx="0" cy="200025"/>
        </a:xfrm>
        <a:prstGeom prst="rightArrow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37</xdr:row>
      <xdr:rowOff>28575</xdr:rowOff>
    </xdr:from>
    <xdr:to>
      <xdr:col>50</xdr:col>
      <xdr:colOff>581025</xdr:colOff>
      <xdr:row>37</xdr:row>
      <xdr:rowOff>238125</xdr:rowOff>
    </xdr:to>
    <xdr:sp>
      <xdr:nvSpPr>
        <xdr:cNvPr id="7" name="AutoShape 169"/>
        <xdr:cNvSpPr>
          <a:spLocks/>
        </xdr:cNvSpPr>
      </xdr:nvSpPr>
      <xdr:spPr>
        <a:xfrm>
          <a:off x="6934200" y="6781800"/>
          <a:ext cx="0" cy="200025"/>
        </a:xfrm>
        <a:prstGeom prst="rightArrow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38</xdr:row>
      <xdr:rowOff>28575</xdr:rowOff>
    </xdr:from>
    <xdr:to>
      <xdr:col>50</xdr:col>
      <xdr:colOff>581025</xdr:colOff>
      <xdr:row>38</xdr:row>
      <xdr:rowOff>238125</xdr:rowOff>
    </xdr:to>
    <xdr:sp>
      <xdr:nvSpPr>
        <xdr:cNvPr id="8" name="AutoShape 170"/>
        <xdr:cNvSpPr>
          <a:spLocks/>
        </xdr:cNvSpPr>
      </xdr:nvSpPr>
      <xdr:spPr>
        <a:xfrm>
          <a:off x="6934200" y="7038975"/>
          <a:ext cx="0" cy="200025"/>
        </a:xfrm>
        <a:prstGeom prst="rightArrow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39</xdr:row>
      <xdr:rowOff>28575</xdr:rowOff>
    </xdr:from>
    <xdr:to>
      <xdr:col>50</xdr:col>
      <xdr:colOff>581025</xdr:colOff>
      <xdr:row>39</xdr:row>
      <xdr:rowOff>238125</xdr:rowOff>
    </xdr:to>
    <xdr:sp>
      <xdr:nvSpPr>
        <xdr:cNvPr id="9" name="AutoShape 171"/>
        <xdr:cNvSpPr>
          <a:spLocks/>
        </xdr:cNvSpPr>
      </xdr:nvSpPr>
      <xdr:spPr>
        <a:xfrm>
          <a:off x="6934200" y="7296150"/>
          <a:ext cx="0" cy="200025"/>
        </a:xfrm>
        <a:prstGeom prst="rightArrow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41</xdr:row>
      <xdr:rowOff>28575</xdr:rowOff>
    </xdr:from>
    <xdr:to>
      <xdr:col>50</xdr:col>
      <xdr:colOff>581025</xdr:colOff>
      <xdr:row>41</xdr:row>
      <xdr:rowOff>238125</xdr:rowOff>
    </xdr:to>
    <xdr:sp>
      <xdr:nvSpPr>
        <xdr:cNvPr id="10" name="AutoShape 173"/>
        <xdr:cNvSpPr>
          <a:spLocks/>
        </xdr:cNvSpPr>
      </xdr:nvSpPr>
      <xdr:spPr>
        <a:xfrm>
          <a:off x="6934200" y="7810500"/>
          <a:ext cx="0" cy="200025"/>
        </a:xfrm>
        <a:prstGeom prst="rightArrow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42</xdr:row>
      <xdr:rowOff>28575</xdr:rowOff>
    </xdr:from>
    <xdr:to>
      <xdr:col>50</xdr:col>
      <xdr:colOff>581025</xdr:colOff>
      <xdr:row>42</xdr:row>
      <xdr:rowOff>238125</xdr:rowOff>
    </xdr:to>
    <xdr:sp>
      <xdr:nvSpPr>
        <xdr:cNvPr id="11" name="AutoShape 174"/>
        <xdr:cNvSpPr>
          <a:spLocks/>
        </xdr:cNvSpPr>
      </xdr:nvSpPr>
      <xdr:spPr>
        <a:xfrm>
          <a:off x="6934200" y="8067675"/>
          <a:ext cx="0" cy="200025"/>
        </a:xfrm>
        <a:prstGeom prst="rightArrow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43</xdr:row>
      <xdr:rowOff>28575</xdr:rowOff>
    </xdr:from>
    <xdr:to>
      <xdr:col>50</xdr:col>
      <xdr:colOff>581025</xdr:colOff>
      <xdr:row>43</xdr:row>
      <xdr:rowOff>238125</xdr:rowOff>
    </xdr:to>
    <xdr:sp>
      <xdr:nvSpPr>
        <xdr:cNvPr id="12" name="AutoShape 175"/>
        <xdr:cNvSpPr>
          <a:spLocks/>
        </xdr:cNvSpPr>
      </xdr:nvSpPr>
      <xdr:spPr>
        <a:xfrm>
          <a:off x="6934200" y="8324850"/>
          <a:ext cx="0" cy="200025"/>
        </a:xfrm>
        <a:prstGeom prst="rightArrow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44</xdr:row>
      <xdr:rowOff>28575</xdr:rowOff>
    </xdr:from>
    <xdr:to>
      <xdr:col>50</xdr:col>
      <xdr:colOff>581025</xdr:colOff>
      <xdr:row>44</xdr:row>
      <xdr:rowOff>238125</xdr:rowOff>
    </xdr:to>
    <xdr:sp>
      <xdr:nvSpPr>
        <xdr:cNvPr id="13" name="AutoShape 176"/>
        <xdr:cNvSpPr>
          <a:spLocks/>
        </xdr:cNvSpPr>
      </xdr:nvSpPr>
      <xdr:spPr>
        <a:xfrm>
          <a:off x="6934200" y="8582025"/>
          <a:ext cx="0" cy="200025"/>
        </a:xfrm>
        <a:prstGeom prst="rightArrow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40</xdr:row>
      <xdr:rowOff>28575</xdr:rowOff>
    </xdr:from>
    <xdr:to>
      <xdr:col>50</xdr:col>
      <xdr:colOff>581025</xdr:colOff>
      <xdr:row>40</xdr:row>
      <xdr:rowOff>238125</xdr:rowOff>
    </xdr:to>
    <xdr:sp>
      <xdr:nvSpPr>
        <xdr:cNvPr id="14" name="AutoShape 181"/>
        <xdr:cNvSpPr>
          <a:spLocks/>
        </xdr:cNvSpPr>
      </xdr:nvSpPr>
      <xdr:spPr>
        <a:xfrm>
          <a:off x="6934200" y="7553325"/>
          <a:ext cx="0" cy="200025"/>
        </a:xfrm>
        <a:prstGeom prst="rightArrow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ial%20Toolbox%20(Heavy)%20for%20Small%20Water%20System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py%20of%20Financial%20Toolbox%20for%20Small%20Water%20System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Financial%20Toolbox%20(Heavy)%20for%20Small%20Water%20System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Training%20Workbook%20v3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Reserve Fund"/>
      <sheetName val="Water Use"/>
      <sheetName val="Auto Rate Calculator"/>
      <sheetName val="Manual Rate Calculator"/>
      <sheetName val="Direct Entry Rate Calculato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Reserve Fund"/>
      <sheetName val="Water Use"/>
      <sheetName val="Auto Rate Calculator"/>
      <sheetName val="Direct Entry Rate Calculato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Reserve Fund"/>
      <sheetName val="Water Use"/>
      <sheetName val="Auto Rate Calculator"/>
      <sheetName val="Manual Rate Calculator"/>
      <sheetName val="Direct Entry Rate Calculato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Budget Graphs"/>
      <sheetName val="Reserve Fund Calculator"/>
      <sheetName val="Rate Calculat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3"/>
  </sheetPr>
  <dimension ref="A1:AI215"/>
  <sheetViews>
    <sheetView tabSelected="1" zoomScale="85" zoomScaleNormal="85" workbookViewId="0" topLeftCell="A1">
      <pane ySplit="2" topLeftCell="BM3" activePane="bottomLeft" state="frozen"/>
      <selection pane="topLeft" activeCell="A1" sqref="A1"/>
      <selection pane="bottomLeft" activeCell="E4" sqref="E4"/>
    </sheetView>
  </sheetViews>
  <sheetFormatPr defaultColWidth="9.140625" defaultRowHeight="12.75"/>
  <cols>
    <col min="1" max="1" width="38.421875" style="234" customWidth="1"/>
    <col min="2" max="2" width="5.28125" style="235" customWidth="1"/>
    <col min="3" max="3" width="6.28125" style="235" customWidth="1"/>
    <col min="4" max="4" width="9.57421875" style="232" customWidth="1"/>
    <col min="5" max="5" width="9.421875" style="235" customWidth="1"/>
    <col min="6" max="6" width="6.28125" style="236" customWidth="1"/>
    <col min="7" max="7" width="10.00390625" style="116" customWidth="1"/>
    <col min="8" max="8" width="9.28125" style="115" customWidth="1"/>
    <col min="9" max="9" width="4.421875" style="115" customWidth="1"/>
    <col min="10" max="10" width="4.7109375" style="115" customWidth="1"/>
    <col min="11" max="11" width="11.00390625" style="113" customWidth="1"/>
    <col min="12" max="12" width="10.7109375" style="113" customWidth="1"/>
    <col min="13" max="13" width="10.8515625" style="113" customWidth="1"/>
    <col min="14" max="15" width="10.7109375" style="113" customWidth="1"/>
    <col min="16" max="16" width="12.28125" style="368" customWidth="1"/>
    <col min="17" max="17" width="17.7109375" style="383" hidden="1" customWidth="1"/>
    <col min="18" max="28" width="12.28125" style="368" hidden="1" customWidth="1"/>
    <col min="29" max="29" width="12.28125" style="384" hidden="1" customWidth="1"/>
    <col min="30" max="30" width="12.28125" style="384" customWidth="1"/>
    <col min="31" max="32" width="7.00390625" style="384" customWidth="1"/>
    <col min="33" max="35" width="6.28125" style="384" customWidth="1"/>
    <col min="36" max="180" width="6.28125" style="103" customWidth="1"/>
    <col min="181" max="16384" width="12.421875" style="103" customWidth="1"/>
  </cols>
  <sheetData>
    <row r="1" spans="1:27" ht="18" customHeight="1" thickBot="1">
      <c r="A1" s="825" t="s">
        <v>184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361" t="s">
        <v>203</v>
      </c>
      <c r="M1" s="145"/>
      <c r="N1" s="102"/>
      <c r="O1" s="102"/>
      <c r="P1" s="367"/>
      <c r="Q1" s="637"/>
      <c r="R1" s="367"/>
      <c r="S1" s="367"/>
      <c r="T1" s="367"/>
      <c r="U1" s="367"/>
      <c r="V1" s="367"/>
      <c r="W1" s="367"/>
      <c r="X1" s="367"/>
      <c r="Y1" s="367"/>
      <c r="Z1" s="367"/>
      <c r="AA1" s="367"/>
    </row>
    <row r="2" spans="1:15" ht="24" customHeight="1" thickBot="1" thickTop="1">
      <c r="A2" s="774" t="s">
        <v>41</v>
      </c>
      <c r="B2" s="775"/>
      <c r="C2" s="776"/>
      <c r="D2" s="183" t="s">
        <v>42</v>
      </c>
      <c r="E2" s="184" t="s">
        <v>43</v>
      </c>
      <c r="F2" s="185" t="s">
        <v>44</v>
      </c>
      <c r="G2" s="104" t="s">
        <v>93</v>
      </c>
      <c r="H2" s="105" t="s">
        <v>94</v>
      </c>
      <c r="I2" s="835" t="s">
        <v>45</v>
      </c>
      <c r="J2" s="836"/>
      <c r="K2" s="106">
        <v>2009</v>
      </c>
      <c r="L2" s="498">
        <f>K2+1</f>
        <v>2010</v>
      </c>
      <c r="M2" s="498">
        <f>L2+1</f>
        <v>2011</v>
      </c>
      <c r="N2" s="498">
        <f>M2+1</f>
        <v>2012</v>
      </c>
      <c r="O2" s="538">
        <f>N2+1</f>
        <v>2013</v>
      </c>
    </row>
    <row r="3" spans="1:15" ht="15.75" customHeight="1" thickBot="1" thickTop="1">
      <c r="A3" s="826" t="s">
        <v>115</v>
      </c>
      <c r="B3" s="827"/>
      <c r="C3" s="827"/>
      <c r="D3" s="186"/>
      <c r="E3" s="186"/>
      <c r="F3" s="187"/>
      <c r="G3" s="107"/>
      <c r="H3" s="107"/>
      <c r="I3" s="107"/>
      <c r="J3" s="107"/>
      <c r="K3" s="107"/>
      <c r="L3" s="107"/>
      <c r="M3" s="107"/>
      <c r="N3" s="107"/>
      <c r="O3" s="108"/>
    </row>
    <row r="4" spans="1:27" ht="14.25" customHeight="1" thickTop="1">
      <c r="A4" s="806" t="s">
        <v>208</v>
      </c>
      <c r="B4" s="807"/>
      <c r="C4" s="808"/>
      <c r="D4" s="500"/>
      <c r="E4" s="668"/>
      <c r="F4" s="627"/>
      <c r="G4" s="120">
        <f>IF(E4=0,"",IF(AND(E4&gt;0,F4&gt;0),E4*F4,E4))</f>
      </c>
      <c r="H4" s="120">
        <f aca="true" t="shared" si="0" ref="H4:H12">IF(G4="","",E4-G4)</f>
      </c>
      <c r="I4" s="837"/>
      <c r="J4" s="838"/>
      <c r="K4" s="120">
        <f aca="true" t="shared" si="1" ref="K4:K12">IF($E4&gt;0,((E4*$I4)+$E4),"")</f>
      </c>
      <c r="L4" s="120">
        <f aca="true" t="shared" si="2" ref="L4:O12">IF($E4&gt;0,((K4*$I4)+K4),"")</f>
      </c>
      <c r="M4" s="120">
        <f t="shared" si="2"/>
      </c>
      <c r="N4" s="120">
        <f t="shared" si="2"/>
      </c>
      <c r="O4" s="121">
        <f t="shared" si="2"/>
      </c>
      <c r="P4" s="369"/>
      <c r="Q4" s="383">
        <f>IF(AND(E4&gt;0,I4&gt;0),E4,0)</f>
        <v>0</v>
      </c>
      <c r="R4" s="369"/>
      <c r="S4" s="369"/>
      <c r="T4" s="369"/>
      <c r="U4" s="369"/>
      <c r="V4" s="369"/>
      <c r="W4" s="369"/>
      <c r="X4" s="369"/>
      <c r="Y4" s="369"/>
      <c r="Z4" s="369"/>
      <c r="AA4" s="369"/>
    </row>
    <row r="5" spans="1:27" ht="14.25" customHeight="1">
      <c r="A5" s="777" t="s">
        <v>209</v>
      </c>
      <c r="B5" s="778"/>
      <c r="C5" s="779"/>
      <c r="D5" s="188"/>
      <c r="E5" s="269"/>
      <c r="F5" s="628"/>
      <c r="G5" s="122">
        <f aca="true" t="shared" si="3" ref="G5:G12">IF(E5=0,"",IF(AND(E5&gt;0,F5&gt;0),E5*F5,E5))</f>
      </c>
      <c r="H5" s="122">
        <f t="shared" si="0"/>
      </c>
      <c r="I5" s="764"/>
      <c r="J5" s="765"/>
      <c r="K5" s="122">
        <f t="shared" si="1"/>
      </c>
      <c r="L5" s="122">
        <f t="shared" si="2"/>
      </c>
      <c r="M5" s="122">
        <f t="shared" si="2"/>
      </c>
      <c r="N5" s="122">
        <f t="shared" si="2"/>
      </c>
      <c r="O5" s="568">
        <f t="shared" si="2"/>
      </c>
      <c r="P5" s="369"/>
      <c r="Q5" s="383">
        <f aca="true" t="shared" si="4" ref="Q5:Q12">IF(AND(E5&gt;0,I5&gt;0),E5,0)</f>
        <v>0</v>
      </c>
      <c r="R5" s="369"/>
      <c r="S5" s="369"/>
      <c r="T5" s="369"/>
      <c r="U5" s="369"/>
      <c r="V5" s="369"/>
      <c r="W5" s="369"/>
      <c r="X5" s="369"/>
      <c r="Y5" s="369"/>
      <c r="Z5" s="369"/>
      <c r="AA5" s="369"/>
    </row>
    <row r="6" spans="1:27" ht="14.25" customHeight="1">
      <c r="A6" s="777" t="s">
        <v>210</v>
      </c>
      <c r="B6" s="778"/>
      <c r="C6" s="779"/>
      <c r="D6" s="188"/>
      <c r="E6" s="269"/>
      <c r="F6" s="628"/>
      <c r="G6" s="119">
        <f t="shared" si="3"/>
      </c>
      <c r="H6" s="119">
        <f t="shared" si="0"/>
      </c>
      <c r="I6" s="764"/>
      <c r="J6" s="765"/>
      <c r="K6" s="122">
        <f t="shared" si="1"/>
      </c>
      <c r="L6" s="122">
        <f t="shared" si="2"/>
      </c>
      <c r="M6" s="122">
        <f t="shared" si="2"/>
      </c>
      <c r="N6" s="122">
        <f t="shared" si="2"/>
      </c>
      <c r="O6" s="568">
        <f t="shared" si="2"/>
      </c>
      <c r="P6" s="369"/>
      <c r="Q6" s="383">
        <f t="shared" si="4"/>
        <v>0</v>
      </c>
      <c r="R6" s="369"/>
      <c r="S6" s="369"/>
      <c r="T6" s="369"/>
      <c r="U6" s="369"/>
      <c r="V6" s="369"/>
      <c r="W6" s="369"/>
      <c r="X6" s="369"/>
      <c r="Y6" s="369"/>
      <c r="Z6" s="369"/>
      <c r="AA6" s="369"/>
    </row>
    <row r="7" spans="1:27" ht="14.25" customHeight="1">
      <c r="A7" s="777" t="s">
        <v>209</v>
      </c>
      <c r="B7" s="778"/>
      <c r="C7" s="779"/>
      <c r="D7" s="188"/>
      <c r="E7" s="269"/>
      <c r="F7" s="628"/>
      <c r="G7" s="119">
        <f t="shared" si="3"/>
      </c>
      <c r="H7" s="119">
        <f t="shared" si="0"/>
      </c>
      <c r="I7" s="764"/>
      <c r="J7" s="765"/>
      <c r="K7" s="122">
        <f t="shared" si="1"/>
      </c>
      <c r="L7" s="122">
        <f t="shared" si="2"/>
      </c>
      <c r="M7" s="122">
        <f t="shared" si="2"/>
      </c>
      <c r="N7" s="122">
        <f t="shared" si="2"/>
      </c>
      <c r="O7" s="568">
        <f t="shared" si="2"/>
      </c>
      <c r="P7" s="369"/>
      <c r="Q7" s="383">
        <f t="shared" si="4"/>
        <v>0</v>
      </c>
      <c r="R7" s="369"/>
      <c r="S7" s="369"/>
      <c r="T7" s="369"/>
      <c r="U7" s="369"/>
      <c r="V7" s="369"/>
      <c r="W7" s="369"/>
      <c r="X7" s="369"/>
      <c r="Y7" s="369"/>
      <c r="Z7" s="369"/>
      <c r="AA7" s="369"/>
    </row>
    <row r="8" spans="1:27" ht="14.25" customHeight="1">
      <c r="A8" s="777" t="s">
        <v>211</v>
      </c>
      <c r="B8" s="778"/>
      <c r="C8" s="779"/>
      <c r="D8" s="188"/>
      <c r="E8" s="269"/>
      <c r="F8" s="628"/>
      <c r="G8" s="119">
        <f t="shared" si="3"/>
      </c>
      <c r="H8" s="119">
        <f t="shared" si="0"/>
      </c>
      <c r="I8" s="764"/>
      <c r="J8" s="765"/>
      <c r="K8" s="122">
        <f t="shared" si="1"/>
      </c>
      <c r="L8" s="122">
        <f t="shared" si="2"/>
      </c>
      <c r="M8" s="122">
        <f t="shared" si="2"/>
      </c>
      <c r="N8" s="122">
        <f t="shared" si="2"/>
      </c>
      <c r="O8" s="568">
        <f t="shared" si="2"/>
      </c>
      <c r="P8" s="369"/>
      <c r="Q8" s="383">
        <f t="shared" si="4"/>
        <v>0</v>
      </c>
      <c r="R8" s="369"/>
      <c r="S8" s="369"/>
      <c r="T8" s="369"/>
      <c r="U8" s="369"/>
      <c r="V8" s="369"/>
      <c r="W8" s="369"/>
      <c r="X8" s="369"/>
      <c r="Y8" s="369"/>
      <c r="Z8" s="369"/>
      <c r="AA8" s="369"/>
    </row>
    <row r="9" spans="1:27" ht="14.25" customHeight="1">
      <c r="A9" s="777" t="s">
        <v>212</v>
      </c>
      <c r="B9" s="778"/>
      <c r="C9" s="779"/>
      <c r="D9" s="188"/>
      <c r="E9" s="269"/>
      <c r="F9" s="628"/>
      <c r="G9" s="119">
        <f>IF(E9=0,"",IF(AND(E9&gt;0,F9&gt;0),E9*F9,E9))</f>
      </c>
      <c r="H9" s="119">
        <f>IF(G9="","",E9-G9)</f>
      </c>
      <c r="I9" s="764"/>
      <c r="J9" s="765"/>
      <c r="K9" s="122">
        <f>IF($E9&gt;0,((E9*$I9)+$E9),"")</f>
      </c>
      <c r="L9" s="122">
        <f aca="true" t="shared" si="5" ref="L9:O10">IF($E9&gt;0,((K9*$I9)+K9),"")</f>
      </c>
      <c r="M9" s="122">
        <f t="shared" si="5"/>
      </c>
      <c r="N9" s="122">
        <f t="shared" si="5"/>
      </c>
      <c r="O9" s="568">
        <f t="shared" si="5"/>
      </c>
      <c r="P9" s="369"/>
      <c r="Q9" s="383">
        <f t="shared" si="4"/>
        <v>0</v>
      </c>
      <c r="R9" s="369"/>
      <c r="S9" s="369"/>
      <c r="T9" s="369"/>
      <c r="U9" s="369"/>
      <c r="V9" s="369"/>
      <c r="W9" s="369"/>
      <c r="X9" s="369"/>
      <c r="Y9" s="369"/>
      <c r="Z9" s="369"/>
      <c r="AA9" s="369"/>
    </row>
    <row r="10" spans="1:27" ht="14.25" customHeight="1">
      <c r="A10" s="777" t="s">
        <v>213</v>
      </c>
      <c r="B10" s="732"/>
      <c r="C10" s="733"/>
      <c r="D10" s="188"/>
      <c r="E10" s="269"/>
      <c r="F10" s="628"/>
      <c r="G10" s="119">
        <f>IF(E10=0,"",IF(AND(E10&gt;0,F10&gt;0),E10*F10,E10))</f>
      </c>
      <c r="H10" s="119">
        <f>IF(G10="","",E10-G10)</f>
      </c>
      <c r="I10" s="764"/>
      <c r="J10" s="765"/>
      <c r="K10" s="122">
        <f>IF($E10&gt;0,((E10*$I10)+$E10),"")</f>
      </c>
      <c r="L10" s="122">
        <f t="shared" si="5"/>
      </c>
      <c r="M10" s="122">
        <f t="shared" si="5"/>
      </c>
      <c r="N10" s="122">
        <f t="shared" si="5"/>
      </c>
      <c r="O10" s="568">
        <f t="shared" si="5"/>
      </c>
      <c r="P10" s="369"/>
      <c r="Q10" s="383">
        <f t="shared" si="4"/>
        <v>0</v>
      </c>
      <c r="R10" s="369"/>
      <c r="S10" s="369"/>
      <c r="T10" s="369"/>
      <c r="U10" s="369"/>
      <c r="V10" s="369"/>
      <c r="W10" s="369"/>
      <c r="X10" s="369"/>
      <c r="Y10" s="369"/>
      <c r="Z10" s="369"/>
      <c r="AA10" s="369"/>
    </row>
    <row r="11" spans="1:27" ht="14.25" customHeight="1">
      <c r="A11" s="802"/>
      <c r="B11" s="778"/>
      <c r="C11" s="779"/>
      <c r="D11" s="188"/>
      <c r="E11" s="269"/>
      <c r="F11" s="628"/>
      <c r="G11" s="119">
        <f t="shared" si="3"/>
      </c>
      <c r="H11" s="119">
        <f t="shared" si="0"/>
      </c>
      <c r="I11" s="764"/>
      <c r="J11" s="765"/>
      <c r="K11" s="122">
        <f t="shared" si="1"/>
      </c>
      <c r="L11" s="122">
        <f t="shared" si="2"/>
      </c>
      <c r="M11" s="122">
        <f t="shared" si="2"/>
      </c>
      <c r="N11" s="122">
        <f t="shared" si="2"/>
      </c>
      <c r="O11" s="568">
        <f t="shared" si="2"/>
      </c>
      <c r="P11" s="369"/>
      <c r="Q11" s="383">
        <f t="shared" si="4"/>
        <v>0</v>
      </c>
      <c r="R11" s="369"/>
      <c r="S11" s="369"/>
      <c r="T11" s="369"/>
      <c r="U11" s="369"/>
      <c r="V11" s="369"/>
      <c r="W11" s="369"/>
      <c r="X11" s="369"/>
      <c r="Y11" s="369"/>
      <c r="Z11" s="369"/>
      <c r="AA11" s="369"/>
    </row>
    <row r="12" spans="1:27" ht="14.25" customHeight="1" thickBot="1">
      <c r="A12" s="803"/>
      <c r="B12" s="778"/>
      <c r="C12" s="779"/>
      <c r="D12" s="188"/>
      <c r="E12" s="269"/>
      <c r="F12" s="628"/>
      <c r="G12" s="119">
        <f t="shared" si="3"/>
      </c>
      <c r="H12" s="119">
        <f t="shared" si="0"/>
      </c>
      <c r="I12" s="830"/>
      <c r="J12" s="831"/>
      <c r="K12" s="123">
        <f t="shared" si="1"/>
      </c>
      <c r="L12" s="123">
        <f t="shared" si="2"/>
      </c>
      <c r="M12" s="123">
        <f t="shared" si="2"/>
      </c>
      <c r="N12" s="123">
        <f t="shared" si="2"/>
      </c>
      <c r="O12" s="569">
        <f t="shared" si="2"/>
      </c>
      <c r="P12" s="369"/>
      <c r="Q12" s="383">
        <f t="shared" si="4"/>
        <v>0</v>
      </c>
      <c r="R12" s="369"/>
      <c r="S12" s="369"/>
      <c r="T12" s="369"/>
      <c r="U12" s="369"/>
      <c r="V12" s="369"/>
      <c r="W12" s="369"/>
      <c r="X12" s="369"/>
      <c r="Y12" s="369"/>
      <c r="Z12" s="369"/>
      <c r="AA12" s="369"/>
    </row>
    <row r="13" spans="1:35" s="109" customFormat="1" ht="14.25" customHeight="1" thickBot="1">
      <c r="A13" s="797" t="s">
        <v>46</v>
      </c>
      <c r="B13" s="798"/>
      <c r="C13" s="799"/>
      <c r="D13" s="191">
        <f>SUM(D4:D12)</f>
        <v>0</v>
      </c>
      <c r="E13" s="191">
        <f>SUM(E4:E12)</f>
        <v>0</v>
      </c>
      <c r="F13" s="192"/>
      <c r="G13" s="124">
        <f>SUM(G4:G12)</f>
        <v>0</v>
      </c>
      <c r="H13" s="124">
        <f>SUM(H4:H12)</f>
        <v>0</v>
      </c>
      <c r="I13" s="766"/>
      <c r="J13" s="767"/>
      <c r="K13" s="124">
        <f>SUM(K4:K12)</f>
        <v>0</v>
      </c>
      <c r="L13" s="124">
        <f>SUM(L4:L12)</f>
        <v>0</v>
      </c>
      <c r="M13" s="124">
        <f>SUM(M4:M12)</f>
        <v>0</v>
      </c>
      <c r="N13" s="124">
        <f>SUM(N4:N12)</f>
        <v>0</v>
      </c>
      <c r="O13" s="570">
        <f>SUM(O4:O12)</f>
        <v>0</v>
      </c>
      <c r="P13" s="370"/>
      <c r="Q13" s="383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1"/>
      <c r="AC13" s="385"/>
      <c r="AD13" s="385"/>
      <c r="AE13" s="385"/>
      <c r="AF13" s="385"/>
      <c r="AG13" s="385"/>
      <c r="AH13" s="385"/>
      <c r="AI13" s="385"/>
    </row>
    <row r="14" spans="1:15" ht="14.25" customHeight="1" thickBot="1" thickTop="1">
      <c r="A14" s="815" t="s">
        <v>116</v>
      </c>
      <c r="B14" s="816"/>
      <c r="C14" s="816"/>
      <c r="D14" s="193"/>
      <c r="E14" s="193"/>
      <c r="F14" s="193"/>
      <c r="G14" s="125"/>
      <c r="H14" s="125"/>
      <c r="I14" s="126"/>
      <c r="J14" s="126"/>
      <c r="K14" s="125"/>
      <c r="L14" s="125"/>
      <c r="M14" s="125"/>
      <c r="N14" s="125"/>
      <c r="O14" s="571"/>
    </row>
    <row r="15" spans="1:27" ht="14.25" customHeight="1" thickTop="1">
      <c r="A15" s="780" t="s">
        <v>185</v>
      </c>
      <c r="B15" s="781"/>
      <c r="C15" s="782"/>
      <c r="D15" s="196"/>
      <c r="E15" s="270"/>
      <c r="F15" s="630"/>
      <c r="G15" s="119">
        <f aca="true" t="shared" si="6" ref="G15:G25">IF(E15=0,"",IF(AND(E15&gt;0,F15&gt;0),E15*F15,E15))</f>
      </c>
      <c r="H15" s="119">
        <f aca="true" t="shared" si="7" ref="H15:H25">IF(G15="","",E15-G15)</f>
      </c>
      <c r="I15" s="764"/>
      <c r="J15" s="765"/>
      <c r="K15" s="127">
        <f aca="true" t="shared" si="8" ref="K15:K25">IF($E15&gt;0,((E15*$I15)+E15),"")</f>
      </c>
      <c r="L15" s="127">
        <f aca="true" t="shared" si="9" ref="L15:O25">IF($E15&gt;0,((K15*$I15)+K15),"")</f>
      </c>
      <c r="M15" s="127">
        <f t="shared" si="9"/>
      </c>
      <c r="N15" s="127">
        <f t="shared" si="9"/>
      </c>
      <c r="O15" s="572">
        <f t="shared" si="9"/>
      </c>
      <c r="P15" s="369"/>
      <c r="Q15" s="383">
        <f>IF(AND(E15&gt;0,I15&gt;0),E15,0)</f>
        <v>0</v>
      </c>
      <c r="R15" s="369"/>
      <c r="S15" s="369"/>
      <c r="T15" s="369"/>
      <c r="U15" s="369"/>
      <c r="V15" s="369"/>
      <c r="W15" s="369"/>
      <c r="X15" s="369"/>
      <c r="Y15" s="369"/>
      <c r="Z15" s="369"/>
      <c r="AA15" s="369"/>
    </row>
    <row r="16" spans="1:27" ht="14.25" customHeight="1">
      <c r="A16" s="777" t="s">
        <v>186</v>
      </c>
      <c r="B16" s="778"/>
      <c r="C16" s="779"/>
      <c r="D16" s="196"/>
      <c r="E16" s="270"/>
      <c r="F16" s="630"/>
      <c r="G16" s="119">
        <f t="shared" si="6"/>
      </c>
      <c r="H16" s="119">
        <f t="shared" si="7"/>
      </c>
      <c r="I16" s="764"/>
      <c r="J16" s="765"/>
      <c r="K16" s="122">
        <f t="shared" si="8"/>
      </c>
      <c r="L16" s="122">
        <f t="shared" si="9"/>
      </c>
      <c r="M16" s="122">
        <f t="shared" si="9"/>
      </c>
      <c r="N16" s="122">
        <f t="shared" si="9"/>
      </c>
      <c r="O16" s="568">
        <f t="shared" si="9"/>
      </c>
      <c r="P16" s="369"/>
      <c r="Q16" s="383">
        <f aca="true" t="shared" si="10" ref="Q16:Q25">IF(AND(E16&gt;0,I16&gt;0),E16,0)</f>
        <v>0</v>
      </c>
      <c r="R16" s="369"/>
      <c r="S16" s="369"/>
      <c r="T16" s="369"/>
      <c r="U16" s="369"/>
      <c r="V16" s="369"/>
      <c r="W16" s="369"/>
      <c r="X16" s="369"/>
      <c r="Y16" s="369"/>
      <c r="Z16" s="369"/>
      <c r="AA16" s="369"/>
    </row>
    <row r="17" spans="1:27" ht="14.25" customHeight="1">
      <c r="A17" s="777" t="s">
        <v>187</v>
      </c>
      <c r="B17" s="778"/>
      <c r="C17" s="779"/>
      <c r="D17" s="196"/>
      <c r="E17" s="270"/>
      <c r="F17" s="630"/>
      <c r="G17" s="119">
        <f t="shared" si="6"/>
      </c>
      <c r="H17" s="119">
        <f t="shared" si="7"/>
      </c>
      <c r="I17" s="764"/>
      <c r="J17" s="765"/>
      <c r="K17" s="122">
        <f t="shared" si="8"/>
      </c>
      <c r="L17" s="122">
        <f t="shared" si="9"/>
      </c>
      <c r="M17" s="122">
        <f t="shared" si="9"/>
      </c>
      <c r="N17" s="122">
        <f t="shared" si="9"/>
      </c>
      <c r="O17" s="568">
        <f t="shared" si="9"/>
      </c>
      <c r="P17" s="369"/>
      <c r="Q17" s="383">
        <f t="shared" si="10"/>
        <v>0</v>
      </c>
      <c r="R17" s="369"/>
      <c r="S17" s="369"/>
      <c r="T17" s="369"/>
      <c r="U17" s="369"/>
      <c r="V17" s="369"/>
      <c r="W17" s="369"/>
      <c r="X17" s="369"/>
      <c r="Y17" s="369"/>
      <c r="Z17" s="369"/>
      <c r="AA17" s="369"/>
    </row>
    <row r="18" spans="1:27" ht="14.25" customHeight="1">
      <c r="A18" s="777" t="s">
        <v>188</v>
      </c>
      <c r="B18" s="778"/>
      <c r="C18" s="779"/>
      <c r="D18" s="196"/>
      <c r="E18" s="270"/>
      <c r="F18" s="630"/>
      <c r="G18" s="119">
        <f t="shared" si="6"/>
      </c>
      <c r="H18" s="119">
        <f t="shared" si="7"/>
      </c>
      <c r="I18" s="764"/>
      <c r="J18" s="765"/>
      <c r="K18" s="122">
        <f t="shared" si="8"/>
      </c>
      <c r="L18" s="122">
        <f t="shared" si="9"/>
      </c>
      <c r="M18" s="122">
        <f t="shared" si="9"/>
      </c>
      <c r="N18" s="122">
        <f t="shared" si="9"/>
      </c>
      <c r="O18" s="568">
        <f t="shared" si="9"/>
      </c>
      <c r="P18" s="369"/>
      <c r="Q18" s="383">
        <f t="shared" si="10"/>
        <v>0</v>
      </c>
      <c r="R18" s="369"/>
      <c r="S18" s="369"/>
      <c r="T18" s="369"/>
      <c r="U18" s="369"/>
      <c r="V18" s="369"/>
      <c r="W18" s="369"/>
      <c r="X18" s="369"/>
      <c r="Y18" s="369"/>
      <c r="Z18" s="369"/>
      <c r="AA18" s="369"/>
    </row>
    <row r="19" spans="1:27" ht="14.25" customHeight="1">
      <c r="A19" s="777" t="s">
        <v>189</v>
      </c>
      <c r="B19" s="778"/>
      <c r="C19" s="779"/>
      <c r="D19" s="196"/>
      <c r="E19" s="270"/>
      <c r="F19" s="630"/>
      <c r="G19" s="119">
        <f t="shared" si="6"/>
      </c>
      <c r="H19" s="119">
        <f t="shared" si="7"/>
      </c>
      <c r="I19" s="804"/>
      <c r="J19" s="805"/>
      <c r="K19" s="122">
        <f t="shared" si="8"/>
      </c>
      <c r="L19" s="122">
        <f t="shared" si="9"/>
      </c>
      <c r="M19" s="122">
        <f t="shared" si="9"/>
      </c>
      <c r="N19" s="122">
        <f t="shared" si="9"/>
      </c>
      <c r="O19" s="568">
        <f t="shared" si="9"/>
      </c>
      <c r="P19" s="369"/>
      <c r="Q19" s="383">
        <f t="shared" si="10"/>
        <v>0</v>
      </c>
      <c r="R19" s="369"/>
      <c r="S19" s="369"/>
      <c r="T19" s="369"/>
      <c r="U19" s="369"/>
      <c r="V19" s="369"/>
      <c r="W19" s="369"/>
      <c r="X19" s="369"/>
      <c r="Y19" s="369"/>
      <c r="Z19" s="369"/>
      <c r="AA19" s="369"/>
    </row>
    <row r="20" spans="1:27" ht="14.25" customHeight="1">
      <c r="A20" s="777" t="s">
        <v>190</v>
      </c>
      <c r="B20" s="778"/>
      <c r="C20" s="779"/>
      <c r="D20" s="196"/>
      <c r="E20" s="270"/>
      <c r="F20" s="630"/>
      <c r="G20" s="119">
        <f t="shared" si="6"/>
      </c>
      <c r="H20" s="119">
        <f t="shared" si="7"/>
      </c>
      <c r="I20" s="804"/>
      <c r="J20" s="805"/>
      <c r="K20" s="122">
        <f t="shared" si="8"/>
      </c>
      <c r="L20" s="122">
        <f t="shared" si="9"/>
      </c>
      <c r="M20" s="122">
        <f t="shared" si="9"/>
      </c>
      <c r="N20" s="122">
        <f t="shared" si="9"/>
      </c>
      <c r="O20" s="568">
        <f t="shared" si="9"/>
      </c>
      <c r="P20" s="369"/>
      <c r="Q20" s="383">
        <f t="shared" si="10"/>
        <v>0</v>
      </c>
      <c r="R20" s="369"/>
      <c r="S20" s="369"/>
      <c r="T20" s="369"/>
      <c r="U20" s="369"/>
      <c r="V20" s="369"/>
      <c r="W20" s="369"/>
      <c r="X20" s="369"/>
      <c r="Y20" s="369"/>
      <c r="Z20" s="369"/>
      <c r="AA20" s="369"/>
    </row>
    <row r="21" spans="1:27" ht="14.25" customHeight="1" thickBot="1">
      <c r="A21" s="777" t="s">
        <v>191</v>
      </c>
      <c r="B21" s="778"/>
      <c r="C21" s="779"/>
      <c r="D21" s="196"/>
      <c r="E21" s="270"/>
      <c r="F21" s="630"/>
      <c r="G21" s="119">
        <f t="shared" si="6"/>
      </c>
      <c r="H21" s="119">
        <f t="shared" si="7"/>
      </c>
      <c r="I21" s="804"/>
      <c r="J21" s="805"/>
      <c r="K21" s="122">
        <f t="shared" si="8"/>
      </c>
      <c r="L21" s="122">
        <f t="shared" si="9"/>
      </c>
      <c r="M21" s="122">
        <f t="shared" si="9"/>
      </c>
      <c r="N21" s="122">
        <f t="shared" si="9"/>
      </c>
      <c r="O21" s="568">
        <f t="shared" si="9"/>
      </c>
      <c r="P21" s="369"/>
      <c r="Q21" s="383">
        <f t="shared" si="10"/>
        <v>0</v>
      </c>
      <c r="R21" s="369"/>
      <c r="S21" s="369"/>
      <c r="T21" s="369"/>
      <c r="U21" s="369"/>
      <c r="V21" s="369"/>
      <c r="W21" s="369"/>
      <c r="X21" s="369"/>
      <c r="Y21" s="369"/>
      <c r="Z21" s="369"/>
      <c r="AA21" s="369"/>
    </row>
    <row r="22" spans="1:27" ht="14.25" customHeight="1" hidden="1">
      <c r="A22" s="777" t="s">
        <v>192</v>
      </c>
      <c r="B22" s="778"/>
      <c r="C22" s="779"/>
      <c r="D22" s="196"/>
      <c r="E22" s="270"/>
      <c r="F22" s="198"/>
      <c r="G22" s="119">
        <f t="shared" si="6"/>
      </c>
      <c r="H22" s="119">
        <f t="shared" si="7"/>
      </c>
      <c r="I22" s="804"/>
      <c r="J22" s="805"/>
      <c r="K22" s="122">
        <f t="shared" si="8"/>
      </c>
      <c r="L22" s="122">
        <f t="shared" si="9"/>
      </c>
      <c r="M22" s="122">
        <f t="shared" si="9"/>
      </c>
      <c r="N22" s="122">
        <f t="shared" si="9"/>
      </c>
      <c r="O22" s="568">
        <f t="shared" si="9"/>
      </c>
      <c r="P22" s="369"/>
      <c r="Q22" s="383">
        <f t="shared" si="10"/>
        <v>0</v>
      </c>
      <c r="R22" s="369"/>
      <c r="S22" s="369"/>
      <c r="T22" s="369"/>
      <c r="U22" s="369"/>
      <c r="V22" s="369"/>
      <c r="W22" s="369"/>
      <c r="X22" s="369"/>
      <c r="Y22" s="369"/>
      <c r="Z22" s="369"/>
      <c r="AA22" s="369"/>
    </row>
    <row r="23" spans="1:27" ht="14.25" customHeight="1" hidden="1">
      <c r="A23" s="777" t="s">
        <v>193</v>
      </c>
      <c r="B23" s="778"/>
      <c r="C23" s="779"/>
      <c r="D23" s="196"/>
      <c r="E23" s="270"/>
      <c r="F23" s="198"/>
      <c r="G23" s="119">
        <f t="shared" si="6"/>
      </c>
      <c r="H23" s="119">
        <f t="shared" si="7"/>
      </c>
      <c r="I23" s="804"/>
      <c r="J23" s="805"/>
      <c r="K23" s="122">
        <f t="shared" si="8"/>
      </c>
      <c r="L23" s="122">
        <f t="shared" si="9"/>
      </c>
      <c r="M23" s="122">
        <f t="shared" si="9"/>
      </c>
      <c r="N23" s="122">
        <f t="shared" si="9"/>
      </c>
      <c r="O23" s="568">
        <f t="shared" si="9"/>
      </c>
      <c r="P23" s="369"/>
      <c r="Q23" s="383">
        <f t="shared" si="10"/>
        <v>0</v>
      </c>
      <c r="R23" s="369"/>
      <c r="S23" s="369"/>
      <c r="T23" s="369"/>
      <c r="U23" s="369"/>
      <c r="V23" s="369"/>
      <c r="W23" s="369"/>
      <c r="X23" s="369"/>
      <c r="Y23" s="369"/>
      <c r="Z23" s="369"/>
      <c r="AA23" s="369"/>
    </row>
    <row r="24" spans="1:27" ht="14.25" customHeight="1" hidden="1">
      <c r="A24" s="777"/>
      <c r="B24" s="778"/>
      <c r="C24" s="779"/>
      <c r="D24" s="196"/>
      <c r="E24" s="270"/>
      <c r="F24" s="198"/>
      <c r="G24" s="119">
        <f t="shared" si="6"/>
      </c>
      <c r="H24" s="119">
        <f t="shared" si="7"/>
      </c>
      <c r="I24" s="764"/>
      <c r="J24" s="765"/>
      <c r="K24" s="122">
        <f t="shared" si="8"/>
      </c>
      <c r="L24" s="122">
        <f t="shared" si="9"/>
      </c>
      <c r="M24" s="122">
        <f t="shared" si="9"/>
      </c>
      <c r="N24" s="122">
        <f t="shared" si="9"/>
      </c>
      <c r="O24" s="568">
        <f t="shared" si="9"/>
      </c>
      <c r="P24" s="369"/>
      <c r="Q24" s="383">
        <f t="shared" si="10"/>
        <v>0</v>
      </c>
      <c r="R24" s="369"/>
      <c r="S24" s="369"/>
      <c r="T24" s="369"/>
      <c r="U24" s="369"/>
      <c r="V24" s="369"/>
      <c r="W24" s="369"/>
      <c r="X24" s="369"/>
      <c r="Y24" s="369"/>
      <c r="Z24" s="369"/>
      <c r="AA24" s="369"/>
    </row>
    <row r="25" spans="1:27" ht="14.25" customHeight="1" hidden="1" thickBot="1">
      <c r="A25" s="777"/>
      <c r="B25" s="732"/>
      <c r="C25" s="733"/>
      <c r="D25" s="199"/>
      <c r="E25" s="200"/>
      <c r="F25" s="198"/>
      <c r="G25" s="119">
        <f t="shared" si="6"/>
      </c>
      <c r="H25" s="119">
        <f t="shared" si="7"/>
      </c>
      <c r="I25" s="764"/>
      <c r="J25" s="765"/>
      <c r="K25" s="123">
        <f t="shared" si="8"/>
      </c>
      <c r="L25" s="123">
        <f t="shared" si="9"/>
      </c>
      <c r="M25" s="123">
        <f t="shared" si="9"/>
      </c>
      <c r="N25" s="123">
        <f t="shared" si="9"/>
      </c>
      <c r="O25" s="569">
        <f t="shared" si="9"/>
      </c>
      <c r="P25" s="369"/>
      <c r="Q25" s="383">
        <f t="shared" si="10"/>
        <v>0</v>
      </c>
      <c r="R25" s="369"/>
      <c r="S25" s="369"/>
      <c r="T25" s="369"/>
      <c r="U25" s="369"/>
      <c r="V25" s="369"/>
      <c r="W25" s="369"/>
      <c r="X25" s="369"/>
      <c r="Y25" s="369"/>
      <c r="Z25" s="369"/>
      <c r="AA25" s="369"/>
    </row>
    <row r="26" spans="1:35" s="109" customFormat="1" ht="14.25" customHeight="1" thickBot="1">
      <c r="A26" s="797" t="s">
        <v>46</v>
      </c>
      <c r="B26" s="798"/>
      <c r="C26" s="799"/>
      <c r="D26" s="191">
        <f>SUM(D15:D25)</f>
        <v>0</v>
      </c>
      <c r="E26" s="191">
        <f>SUM(E15:E25)</f>
        <v>0</v>
      </c>
      <c r="F26" s="192"/>
      <c r="G26" s="124">
        <f>SUM(G15:G25)</f>
        <v>0</v>
      </c>
      <c r="H26" s="124">
        <f>SUM(H15:H25)</f>
        <v>0</v>
      </c>
      <c r="I26" s="545"/>
      <c r="J26" s="546"/>
      <c r="K26" s="124">
        <f>SUM(K15:K25)</f>
        <v>0</v>
      </c>
      <c r="L26" s="124">
        <f>SUM(L15:L25)</f>
        <v>0</v>
      </c>
      <c r="M26" s="124">
        <f>SUM(M15:M25)</f>
        <v>0</v>
      </c>
      <c r="N26" s="124">
        <f>SUM(N15:N25)</f>
        <v>0</v>
      </c>
      <c r="O26" s="570">
        <f>SUM(O15:O25)</f>
        <v>0</v>
      </c>
      <c r="P26" s="370"/>
      <c r="Q26" s="383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1"/>
      <c r="AC26" s="385"/>
      <c r="AD26" s="385"/>
      <c r="AE26" s="385"/>
      <c r="AF26" s="385"/>
      <c r="AG26" s="385"/>
      <c r="AH26" s="385"/>
      <c r="AI26" s="385"/>
    </row>
    <row r="27" spans="1:15" ht="14.25" customHeight="1" thickBot="1" thickTop="1">
      <c r="A27" s="828" t="s">
        <v>117</v>
      </c>
      <c r="B27" s="829"/>
      <c r="C27" s="829"/>
      <c r="D27" s="201"/>
      <c r="E27" s="201"/>
      <c r="F27" s="201"/>
      <c r="G27" s="128"/>
      <c r="H27" s="128"/>
      <c r="I27" s="129"/>
      <c r="J27" s="129"/>
      <c r="K27" s="128"/>
      <c r="L27" s="128"/>
      <c r="M27" s="128"/>
      <c r="N27" s="128"/>
      <c r="O27" s="573"/>
    </row>
    <row r="28" spans="1:27" ht="14.25" customHeight="1" thickTop="1">
      <c r="A28" s="731" t="s">
        <v>163</v>
      </c>
      <c r="B28" s="732"/>
      <c r="C28" s="733"/>
      <c r="D28" s="196"/>
      <c r="E28" s="631"/>
      <c r="F28" s="198"/>
      <c r="G28" s="119">
        <f>IF(E28=0,"",IF(AND(E28&gt;0,F28&gt;0),E28*F28,E28))</f>
      </c>
      <c r="H28" s="119">
        <f>IF(G28="","",E28-G28)</f>
      </c>
      <c r="I28" s="764"/>
      <c r="J28" s="765"/>
      <c r="K28" s="122">
        <f>IF($E28&gt;0,((E28*$I28)+E28),"")</f>
      </c>
      <c r="L28" s="122">
        <f aca="true" t="shared" si="11" ref="L28:O31">IF($E28&gt;0,((K28*$I28)+K28),"")</f>
      </c>
      <c r="M28" s="122">
        <f t="shared" si="11"/>
      </c>
      <c r="N28" s="122">
        <f t="shared" si="11"/>
      </c>
      <c r="O28" s="568">
        <f t="shared" si="11"/>
      </c>
      <c r="P28" s="369"/>
      <c r="Q28" s="383">
        <f>IF(AND(E28&gt;0,I28&gt;0),E28,0)</f>
        <v>0</v>
      </c>
      <c r="R28" s="369"/>
      <c r="S28" s="369"/>
      <c r="T28" s="369"/>
      <c r="U28" s="369"/>
      <c r="V28" s="369"/>
      <c r="W28" s="369"/>
      <c r="X28" s="369"/>
      <c r="Y28" s="369"/>
      <c r="Z28" s="369"/>
      <c r="AA28" s="369"/>
    </row>
    <row r="29" spans="1:27" ht="14.25" customHeight="1">
      <c r="A29" s="786" t="s">
        <v>194</v>
      </c>
      <c r="B29" s="787"/>
      <c r="C29" s="788"/>
      <c r="D29" s="196"/>
      <c r="E29" s="631"/>
      <c r="F29" s="198"/>
      <c r="G29" s="119">
        <f>IF(E29=0,"",IF(AND(E29&gt;0,F29&gt;0),E29*F29,E29))</f>
      </c>
      <c r="H29" s="119">
        <f>IF(G29="","",E29-G29)</f>
      </c>
      <c r="I29" s="764"/>
      <c r="J29" s="765"/>
      <c r="K29" s="122">
        <f>IF($E29&gt;0,((E29*$I29)+E29),"")</f>
      </c>
      <c r="L29" s="122">
        <f t="shared" si="11"/>
      </c>
      <c r="M29" s="122">
        <f t="shared" si="11"/>
      </c>
      <c r="N29" s="122">
        <f t="shared" si="11"/>
      </c>
      <c r="O29" s="568">
        <f t="shared" si="11"/>
      </c>
      <c r="P29" s="369"/>
      <c r="Q29" s="383">
        <f>IF(AND(E29&gt;0,I29&gt;0),E29,0)</f>
        <v>0</v>
      </c>
      <c r="R29" s="369"/>
      <c r="S29" s="369"/>
      <c r="T29" s="369"/>
      <c r="U29" s="369"/>
      <c r="V29" s="369"/>
      <c r="W29" s="369"/>
      <c r="X29" s="369"/>
      <c r="Y29" s="369"/>
      <c r="Z29" s="369"/>
      <c r="AA29" s="369"/>
    </row>
    <row r="30" spans="1:27" ht="14.25" customHeight="1">
      <c r="A30" s="789"/>
      <c r="B30" s="773"/>
      <c r="C30" s="790"/>
      <c r="D30" s="196"/>
      <c r="E30" s="197"/>
      <c r="F30" s="198"/>
      <c r="G30" s="119">
        <f>IF(E30=0,"",IF(AND(E30&gt;0,F30&gt;0),E30*F30,E30))</f>
      </c>
      <c r="H30" s="119">
        <f>IF(G30="","",E30-G30)</f>
      </c>
      <c r="I30" s="764"/>
      <c r="J30" s="765"/>
      <c r="K30" s="122">
        <f>IF($E30&gt;0,((E30*$I30)+E30),"")</f>
      </c>
      <c r="L30" s="122">
        <f t="shared" si="11"/>
      </c>
      <c r="M30" s="122">
        <f t="shared" si="11"/>
      </c>
      <c r="N30" s="122">
        <f t="shared" si="11"/>
      </c>
      <c r="O30" s="568">
        <f t="shared" si="11"/>
      </c>
      <c r="P30" s="369"/>
      <c r="Q30" s="383">
        <f>IF(AND(E30&gt;0,I30&gt;0),E30,0)</f>
        <v>0</v>
      </c>
      <c r="R30" s="369"/>
      <c r="S30" s="369"/>
      <c r="T30" s="369"/>
      <c r="U30" s="369"/>
      <c r="V30" s="369"/>
      <c r="W30" s="369"/>
      <c r="X30" s="369"/>
      <c r="Y30" s="369"/>
      <c r="Z30" s="369"/>
      <c r="AA30" s="369"/>
    </row>
    <row r="31" spans="1:27" ht="14.25" customHeight="1" thickBot="1">
      <c r="A31" s="791"/>
      <c r="B31" s="735"/>
      <c r="C31" s="735"/>
      <c r="D31" s="574"/>
      <c r="E31" s="200"/>
      <c r="F31" s="202"/>
      <c r="G31" s="119">
        <f>IF(E31=0,"",IF(AND(E31&gt;0,F31&gt;0),E31*F31,E31))</f>
      </c>
      <c r="H31" s="119">
        <f>IF(G31="","",E31-G31)</f>
      </c>
      <c r="I31" s="764"/>
      <c r="J31" s="765"/>
      <c r="K31" s="123">
        <f>IF($E31&gt;0,((E31*$I31)+E31),"")</f>
      </c>
      <c r="L31" s="123">
        <f t="shared" si="11"/>
      </c>
      <c r="M31" s="123">
        <f t="shared" si="11"/>
      </c>
      <c r="N31" s="123">
        <f t="shared" si="11"/>
      </c>
      <c r="O31" s="569">
        <f t="shared" si="11"/>
      </c>
      <c r="P31" s="369"/>
      <c r="Q31" s="383">
        <f>IF(AND(E31&gt;0,I31&gt;0),E31,0)</f>
        <v>0</v>
      </c>
      <c r="R31" s="369"/>
      <c r="S31" s="369"/>
      <c r="T31" s="369"/>
      <c r="U31" s="369"/>
      <c r="V31" s="369"/>
      <c r="W31" s="369"/>
      <c r="X31" s="369"/>
      <c r="Y31" s="369"/>
      <c r="Z31" s="369"/>
      <c r="AA31" s="369"/>
    </row>
    <row r="32" spans="1:35" s="109" customFormat="1" ht="14.25" customHeight="1" thickBot="1">
      <c r="A32" s="797" t="s">
        <v>46</v>
      </c>
      <c r="B32" s="798"/>
      <c r="C32" s="799"/>
      <c r="D32" s="191">
        <f>SUM(D28:D31)</f>
        <v>0</v>
      </c>
      <c r="E32" s="191">
        <f>SUM(E28:E31)</f>
        <v>0</v>
      </c>
      <c r="F32" s="192"/>
      <c r="G32" s="124">
        <f>SUM(G28:G31)</f>
        <v>0</v>
      </c>
      <c r="H32" s="124">
        <f>SUM(H28:H31)</f>
        <v>0</v>
      </c>
      <c r="I32" s="543"/>
      <c r="J32" s="544"/>
      <c r="K32" s="124">
        <f>SUM(K28:K31)</f>
        <v>0</v>
      </c>
      <c r="L32" s="124">
        <f>SUM(L28:L31)</f>
        <v>0</v>
      </c>
      <c r="M32" s="124">
        <f>SUM(M28:M31)</f>
        <v>0</v>
      </c>
      <c r="N32" s="124">
        <f>SUM(N28:N31)</f>
        <v>0</v>
      </c>
      <c r="O32" s="570">
        <f>SUM(O28:O31)</f>
        <v>0</v>
      </c>
      <c r="P32" s="370"/>
      <c r="Q32" s="383"/>
      <c r="R32" s="370"/>
      <c r="S32" s="370"/>
      <c r="T32" s="370"/>
      <c r="U32" s="370"/>
      <c r="V32" s="370"/>
      <c r="W32" s="370"/>
      <c r="X32" s="370"/>
      <c r="Y32" s="370"/>
      <c r="Z32" s="370"/>
      <c r="AA32" s="370"/>
      <c r="AB32" s="371"/>
      <c r="AC32" s="385"/>
      <c r="AD32" s="385"/>
      <c r="AE32" s="385"/>
      <c r="AF32" s="385"/>
      <c r="AG32" s="385"/>
      <c r="AH32" s="385"/>
      <c r="AI32" s="385"/>
    </row>
    <row r="33" spans="1:15" ht="14.25" customHeight="1" thickBot="1" thickTop="1">
      <c r="A33" s="815" t="s">
        <v>118</v>
      </c>
      <c r="B33" s="816"/>
      <c r="C33" s="816"/>
      <c r="D33" s="193"/>
      <c r="E33" s="193"/>
      <c r="F33" s="193"/>
      <c r="G33" s="125"/>
      <c r="H33" s="125"/>
      <c r="I33" s="126"/>
      <c r="J33" s="126"/>
      <c r="K33" s="125"/>
      <c r="L33" s="125"/>
      <c r="M33" s="125"/>
      <c r="N33" s="125"/>
      <c r="O33" s="571"/>
    </row>
    <row r="34" spans="1:29" ht="14.25" customHeight="1" thickBot="1" thickTop="1">
      <c r="A34" s="547" t="s">
        <v>48</v>
      </c>
      <c r="B34" s="548"/>
      <c r="C34" s="549"/>
      <c r="D34" s="832"/>
      <c r="E34" s="833"/>
      <c r="F34" s="833"/>
      <c r="G34" s="833"/>
      <c r="H34" s="833"/>
      <c r="I34" s="833"/>
      <c r="J34" s="833"/>
      <c r="K34" s="833"/>
      <c r="L34" s="833"/>
      <c r="M34" s="833"/>
      <c r="N34" s="833"/>
      <c r="O34" s="834"/>
      <c r="AC34" s="386"/>
    </row>
    <row r="35" spans="1:27" ht="14.25" customHeight="1" thickTop="1">
      <c r="A35" s="559" t="s">
        <v>178</v>
      </c>
      <c r="B35" s="555"/>
      <c r="C35" s="194"/>
      <c r="D35" s="203"/>
      <c r="E35" s="204">
        <f aca="true" t="shared" si="12" ref="E35:E44">IF(C35&gt;0,B35*C35,"")</f>
      </c>
      <c r="F35" s="190"/>
      <c r="G35" s="119">
        <f>IF(AND(C35&gt;0,F35=0),E35,IF(AND(C35&gt;0,F35&gt;0),E35*F35,""))</f>
      </c>
      <c r="H35" s="119">
        <f>IF(G35="","",E35-G35)</f>
      </c>
      <c r="I35" s="800"/>
      <c r="J35" s="801"/>
      <c r="K35" s="127">
        <f aca="true" t="shared" si="13" ref="K35:K44">IF(AND($E35&gt;0,NOT(E35="")),(E35*$I35)+E35,"")</f>
      </c>
      <c r="L35" s="127">
        <f aca="true" t="shared" si="14" ref="L35:O44">IF(AND($E35&gt;0,NOT($E35="")),(K35*$I35)+K35,"")</f>
      </c>
      <c r="M35" s="127">
        <f t="shared" si="14"/>
      </c>
      <c r="N35" s="127">
        <f t="shared" si="14"/>
      </c>
      <c r="O35" s="572">
        <f t="shared" si="14"/>
      </c>
      <c r="P35" s="369"/>
      <c r="Q35" s="383">
        <f>IF(AND(NOT(E35=""),E35&gt;0,I35&gt;0),E35,0)</f>
        <v>0</v>
      </c>
      <c r="R35" s="369"/>
      <c r="S35" s="369"/>
      <c r="T35" s="369"/>
      <c r="U35" s="369"/>
      <c r="V35" s="369"/>
      <c r="W35" s="369"/>
      <c r="X35" s="369"/>
      <c r="Y35" s="369"/>
      <c r="Z35" s="369"/>
      <c r="AA35" s="369"/>
    </row>
    <row r="36" spans="1:27" ht="14.25" customHeight="1">
      <c r="A36" s="559" t="s">
        <v>89</v>
      </c>
      <c r="B36" s="556"/>
      <c r="C36" s="197"/>
      <c r="D36" s="206"/>
      <c r="E36" s="207">
        <f t="shared" si="12"/>
      </c>
      <c r="F36" s="190"/>
      <c r="G36" s="119">
        <f aca="true" t="shared" si="15" ref="G36:G44">IF(AND(C36&gt;0,F36=0),E36,IF(AND(C36&gt;0,F36&gt;0),E36*F36,""))</f>
      </c>
      <c r="H36" s="119">
        <f aca="true" t="shared" si="16" ref="H36:H44">IF(G36="","",E36-G36)</f>
      </c>
      <c r="I36" s="764"/>
      <c r="J36" s="765"/>
      <c r="K36" s="122">
        <f t="shared" si="13"/>
      </c>
      <c r="L36" s="122">
        <f t="shared" si="14"/>
      </c>
      <c r="M36" s="122">
        <f t="shared" si="14"/>
      </c>
      <c r="N36" s="122">
        <f t="shared" si="14"/>
      </c>
      <c r="O36" s="568">
        <f t="shared" si="14"/>
      </c>
      <c r="P36" s="369"/>
      <c r="Q36" s="383">
        <f aca="true" t="shared" si="17" ref="Q36:Q44">IF(AND(NOT(E36=""),E36&gt;0,I36&gt;0),E36,0)</f>
        <v>0</v>
      </c>
      <c r="R36" s="369"/>
      <c r="S36" s="369"/>
      <c r="T36" s="369"/>
      <c r="U36" s="369"/>
      <c r="V36" s="369"/>
      <c r="W36" s="369"/>
      <c r="X36" s="369"/>
      <c r="Y36" s="369"/>
      <c r="Z36" s="369"/>
      <c r="AA36" s="369"/>
    </row>
    <row r="37" spans="1:27" ht="14.25" customHeight="1">
      <c r="A37" s="559" t="s">
        <v>90</v>
      </c>
      <c r="B37" s="556"/>
      <c r="C37" s="197"/>
      <c r="D37" s="206"/>
      <c r="E37" s="207">
        <f t="shared" si="12"/>
      </c>
      <c r="F37" s="190"/>
      <c r="G37" s="119">
        <f t="shared" si="15"/>
      </c>
      <c r="H37" s="119">
        <f t="shared" si="16"/>
      </c>
      <c r="I37" s="764"/>
      <c r="J37" s="765"/>
      <c r="K37" s="122">
        <f t="shared" si="13"/>
      </c>
      <c r="L37" s="122">
        <f t="shared" si="14"/>
      </c>
      <c r="M37" s="122">
        <f t="shared" si="14"/>
      </c>
      <c r="N37" s="122">
        <f t="shared" si="14"/>
      </c>
      <c r="O37" s="568">
        <f t="shared" si="14"/>
      </c>
      <c r="P37" s="369"/>
      <c r="Q37" s="383">
        <f t="shared" si="17"/>
        <v>0</v>
      </c>
      <c r="R37" s="369"/>
      <c r="S37" s="369"/>
      <c r="T37" s="369"/>
      <c r="U37" s="369"/>
      <c r="V37" s="369"/>
      <c r="W37" s="369"/>
      <c r="X37" s="369"/>
      <c r="Y37" s="369"/>
      <c r="Z37" s="369"/>
      <c r="AA37" s="369"/>
    </row>
    <row r="38" spans="1:27" ht="14.25" customHeight="1">
      <c r="A38" s="559" t="s">
        <v>91</v>
      </c>
      <c r="B38" s="556"/>
      <c r="C38" s="197"/>
      <c r="D38" s="206"/>
      <c r="E38" s="207">
        <f t="shared" si="12"/>
      </c>
      <c r="F38" s="190"/>
      <c r="G38" s="119">
        <f t="shared" si="15"/>
      </c>
      <c r="H38" s="119">
        <f t="shared" si="16"/>
      </c>
      <c r="I38" s="764"/>
      <c r="J38" s="765"/>
      <c r="K38" s="122">
        <f t="shared" si="13"/>
      </c>
      <c r="L38" s="122">
        <f t="shared" si="14"/>
      </c>
      <c r="M38" s="122">
        <f t="shared" si="14"/>
      </c>
      <c r="N38" s="122">
        <f t="shared" si="14"/>
      </c>
      <c r="O38" s="568">
        <f t="shared" si="14"/>
      </c>
      <c r="P38" s="369"/>
      <c r="Q38" s="383">
        <f t="shared" si="17"/>
        <v>0</v>
      </c>
      <c r="R38" s="369"/>
      <c r="S38" s="369"/>
      <c r="T38" s="369"/>
      <c r="U38" s="369"/>
      <c r="V38" s="369"/>
      <c r="W38" s="369"/>
      <c r="X38" s="369"/>
      <c r="Y38" s="369"/>
      <c r="Z38" s="369"/>
      <c r="AA38" s="369"/>
    </row>
    <row r="39" spans="1:27" ht="14.25" customHeight="1">
      <c r="A39" s="559" t="s">
        <v>110</v>
      </c>
      <c r="B39" s="556"/>
      <c r="C39" s="197"/>
      <c r="D39" s="206"/>
      <c r="E39" s="207">
        <f t="shared" si="12"/>
      </c>
      <c r="F39" s="190"/>
      <c r="G39" s="119">
        <f t="shared" si="15"/>
      </c>
      <c r="H39" s="119">
        <f t="shared" si="16"/>
      </c>
      <c r="I39" s="764"/>
      <c r="J39" s="765"/>
      <c r="K39" s="122">
        <f t="shared" si="13"/>
      </c>
      <c r="L39" s="122">
        <f t="shared" si="14"/>
      </c>
      <c r="M39" s="122">
        <f t="shared" si="14"/>
      </c>
      <c r="N39" s="122">
        <f t="shared" si="14"/>
      </c>
      <c r="O39" s="568">
        <f t="shared" si="14"/>
      </c>
      <c r="P39" s="369"/>
      <c r="Q39" s="383">
        <f t="shared" si="17"/>
        <v>0</v>
      </c>
      <c r="R39" s="369"/>
      <c r="S39" s="369"/>
      <c r="T39" s="369"/>
      <c r="U39" s="369"/>
      <c r="V39" s="369"/>
      <c r="W39" s="369"/>
      <c r="X39" s="369"/>
      <c r="Y39" s="369"/>
      <c r="Z39" s="369"/>
      <c r="AA39" s="369"/>
    </row>
    <row r="40" spans="1:27" ht="14.25" customHeight="1">
      <c r="A40" s="560" t="s">
        <v>111</v>
      </c>
      <c r="B40" s="556"/>
      <c r="C40" s="197"/>
      <c r="D40" s="206"/>
      <c r="E40" s="207">
        <f t="shared" si="12"/>
      </c>
      <c r="F40" s="190"/>
      <c r="G40" s="119">
        <f t="shared" si="15"/>
      </c>
      <c r="H40" s="119">
        <f t="shared" si="16"/>
      </c>
      <c r="I40" s="764"/>
      <c r="J40" s="765"/>
      <c r="K40" s="122">
        <f t="shared" si="13"/>
      </c>
      <c r="L40" s="122">
        <f t="shared" si="14"/>
      </c>
      <c r="M40" s="122">
        <f t="shared" si="14"/>
      </c>
      <c r="N40" s="122">
        <f t="shared" si="14"/>
      </c>
      <c r="O40" s="568">
        <f t="shared" si="14"/>
      </c>
      <c r="P40" s="369"/>
      <c r="Q40" s="383">
        <f t="shared" si="17"/>
        <v>0</v>
      </c>
      <c r="R40" s="369"/>
      <c r="S40" s="369"/>
      <c r="T40" s="369"/>
      <c r="U40" s="369"/>
      <c r="V40" s="369"/>
      <c r="W40" s="369"/>
      <c r="X40" s="369"/>
      <c r="Y40" s="369"/>
      <c r="Z40" s="369"/>
      <c r="AA40" s="369"/>
    </row>
    <row r="41" spans="1:27" ht="14.25" customHeight="1">
      <c r="A41" s="561" t="s">
        <v>112</v>
      </c>
      <c r="B41" s="556"/>
      <c r="C41" s="197"/>
      <c r="D41" s="206"/>
      <c r="E41" s="207">
        <f t="shared" si="12"/>
      </c>
      <c r="F41" s="190"/>
      <c r="G41" s="119">
        <f t="shared" si="15"/>
      </c>
      <c r="H41" s="119">
        <f t="shared" si="16"/>
      </c>
      <c r="I41" s="764"/>
      <c r="J41" s="765"/>
      <c r="K41" s="122">
        <f t="shared" si="13"/>
      </c>
      <c r="L41" s="122">
        <f t="shared" si="14"/>
      </c>
      <c r="M41" s="122">
        <f t="shared" si="14"/>
      </c>
      <c r="N41" s="122">
        <f t="shared" si="14"/>
      </c>
      <c r="O41" s="568">
        <f t="shared" si="14"/>
      </c>
      <c r="P41" s="369"/>
      <c r="Q41" s="383">
        <f t="shared" si="17"/>
        <v>0</v>
      </c>
      <c r="R41" s="369"/>
      <c r="S41" s="369"/>
      <c r="T41" s="369"/>
      <c r="U41" s="369"/>
      <c r="V41" s="369"/>
      <c r="W41" s="369"/>
      <c r="X41" s="369"/>
      <c r="Y41" s="369"/>
      <c r="Z41" s="369"/>
      <c r="AA41" s="369"/>
    </row>
    <row r="42" spans="1:27" ht="14.25" customHeight="1">
      <c r="A42" s="559" t="s">
        <v>113</v>
      </c>
      <c r="B42" s="556"/>
      <c r="C42" s="197"/>
      <c r="D42" s="206"/>
      <c r="E42" s="207">
        <f t="shared" si="12"/>
      </c>
      <c r="F42" s="190"/>
      <c r="G42" s="119">
        <f t="shared" si="15"/>
      </c>
      <c r="H42" s="119">
        <f t="shared" si="16"/>
      </c>
      <c r="I42" s="764"/>
      <c r="J42" s="765"/>
      <c r="K42" s="122">
        <f t="shared" si="13"/>
      </c>
      <c r="L42" s="122">
        <f t="shared" si="14"/>
      </c>
      <c r="M42" s="122">
        <f t="shared" si="14"/>
      </c>
      <c r="N42" s="122">
        <f t="shared" si="14"/>
      </c>
      <c r="O42" s="568">
        <f t="shared" si="14"/>
      </c>
      <c r="P42" s="369"/>
      <c r="Q42" s="383">
        <f t="shared" si="17"/>
        <v>0</v>
      </c>
      <c r="R42" s="369"/>
      <c r="S42" s="369"/>
      <c r="T42" s="369"/>
      <c r="U42" s="369"/>
      <c r="V42" s="369"/>
      <c r="W42" s="369"/>
      <c r="X42" s="369"/>
      <c r="Y42" s="369"/>
      <c r="Z42" s="369"/>
      <c r="AA42" s="369"/>
    </row>
    <row r="43" spans="1:27" ht="14.25" customHeight="1">
      <c r="A43" s="559"/>
      <c r="B43" s="556"/>
      <c r="C43" s="197"/>
      <c r="D43" s="206"/>
      <c r="E43" s="207">
        <f t="shared" si="12"/>
      </c>
      <c r="F43" s="190"/>
      <c r="G43" s="119">
        <f t="shared" si="15"/>
      </c>
      <c r="H43" s="119">
        <f t="shared" si="16"/>
      </c>
      <c r="I43" s="764"/>
      <c r="J43" s="765"/>
      <c r="K43" s="122">
        <f t="shared" si="13"/>
      </c>
      <c r="L43" s="122">
        <f t="shared" si="14"/>
      </c>
      <c r="M43" s="122">
        <f t="shared" si="14"/>
      </c>
      <c r="N43" s="122">
        <f t="shared" si="14"/>
      </c>
      <c r="O43" s="568">
        <f t="shared" si="14"/>
      </c>
      <c r="P43" s="369"/>
      <c r="Q43" s="383">
        <f t="shared" si="17"/>
        <v>0</v>
      </c>
      <c r="R43" s="369"/>
      <c r="S43" s="369"/>
      <c r="T43" s="369"/>
      <c r="U43" s="369"/>
      <c r="V43" s="369"/>
      <c r="W43" s="369"/>
      <c r="X43" s="369"/>
      <c r="Y43" s="369"/>
      <c r="Z43" s="369"/>
      <c r="AA43" s="369"/>
    </row>
    <row r="44" spans="1:27" ht="14.25" customHeight="1" thickBot="1">
      <c r="A44" s="559" t="s">
        <v>146</v>
      </c>
      <c r="B44" s="205"/>
      <c r="C44" s="197"/>
      <c r="D44" s="206"/>
      <c r="E44" s="207">
        <f t="shared" si="12"/>
      </c>
      <c r="F44" s="190"/>
      <c r="G44" s="119">
        <f t="shared" si="15"/>
      </c>
      <c r="H44" s="119">
        <f t="shared" si="16"/>
      </c>
      <c r="I44" s="764"/>
      <c r="J44" s="765"/>
      <c r="K44" s="123">
        <f t="shared" si="13"/>
      </c>
      <c r="L44" s="123">
        <f t="shared" si="14"/>
      </c>
      <c r="M44" s="123">
        <f t="shared" si="14"/>
      </c>
      <c r="N44" s="123">
        <f t="shared" si="14"/>
      </c>
      <c r="O44" s="569">
        <f t="shared" si="14"/>
      </c>
      <c r="P44" s="369"/>
      <c r="Q44" s="383">
        <f t="shared" si="17"/>
        <v>0</v>
      </c>
      <c r="R44" s="369"/>
      <c r="S44" s="369"/>
      <c r="T44" s="369"/>
      <c r="U44" s="369"/>
      <c r="V44" s="369"/>
      <c r="W44" s="369"/>
      <c r="X44" s="369"/>
      <c r="Y44" s="369"/>
      <c r="Z44" s="369"/>
      <c r="AA44" s="369"/>
    </row>
    <row r="45" spans="1:28" ht="14.25" customHeight="1" thickBot="1">
      <c r="A45" s="817" t="s">
        <v>46</v>
      </c>
      <c r="B45" s="818"/>
      <c r="C45" s="819"/>
      <c r="D45" s="191">
        <f>SUM(D35:D44)</f>
        <v>0</v>
      </c>
      <c r="E45" s="191">
        <f>SUM(E35:E44)</f>
        <v>0</v>
      </c>
      <c r="F45" s="192"/>
      <c r="G45" s="124">
        <f>SUM(G35:G44)</f>
        <v>0</v>
      </c>
      <c r="H45" s="124">
        <f>SUM(H35:H44)</f>
        <v>0</v>
      </c>
      <c r="I45" s="766"/>
      <c r="J45" s="767"/>
      <c r="K45" s="124">
        <f>SUM(K35:K44)</f>
        <v>0</v>
      </c>
      <c r="L45" s="124">
        <f>SUM(L35:L44)</f>
        <v>0</v>
      </c>
      <c r="M45" s="124">
        <f>SUM(M35:M44)</f>
        <v>0</v>
      </c>
      <c r="N45" s="124">
        <f>SUM(N35:N44)</f>
        <v>0</v>
      </c>
      <c r="O45" s="570">
        <f>SUM(O35:O44)</f>
        <v>0</v>
      </c>
      <c r="P45" s="372"/>
      <c r="R45" s="372"/>
      <c r="S45" s="372"/>
      <c r="T45" s="372"/>
      <c r="U45" s="372"/>
      <c r="V45" s="372"/>
      <c r="W45" s="372"/>
      <c r="X45" s="372"/>
      <c r="Y45" s="372"/>
      <c r="Z45" s="372"/>
      <c r="AA45" s="372"/>
      <c r="AB45" s="369"/>
    </row>
    <row r="46" spans="1:15" ht="14.25" customHeight="1" thickBot="1" thickTop="1">
      <c r="A46" s="815" t="s">
        <v>119</v>
      </c>
      <c r="B46" s="816"/>
      <c r="C46" s="816"/>
      <c r="D46" s="193"/>
      <c r="E46" s="193"/>
      <c r="F46" s="193"/>
      <c r="G46" s="125"/>
      <c r="H46" s="125"/>
      <c r="I46" s="126"/>
      <c r="J46" s="126"/>
      <c r="K46" s="125"/>
      <c r="L46" s="125"/>
      <c r="M46" s="125"/>
      <c r="N46" s="125"/>
      <c r="O46" s="571"/>
    </row>
    <row r="47" spans="1:27" ht="14.25" customHeight="1" thickTop="1">
      <c r="A47" s="786" t="s">
        <v>195</v>
      </c>
      <c r="B47" s="795"/>
      <c r="C47" s="796"/>
      <c r="D47" s="188"/>
      <c r="E47" s="629"/>
      <c r="F47" s="628"/>
      <c r="G47" s="119">
        <f>IF(E47=0,"",IF(AND(E47&gt;0,F47&gt;0),E47*F47,E47))</f>
      </c>
      <c r="H47" s="119">
        <f>IF(G47="","",E47-G47)</f>
      </c>
      <c r="I47" s="764"/>
      <c r="J47" s="765"/>
      <c r="K47" s="127">
        <f aca="true" t="shared" si="18" ref="K47:K56">IF($E47&gt;0,((E47*$I47)+E47),"")</f>
      </c>
      <c r="L47" s="127">
        <f aca="true" t="shared" si="19" ref="L47:O56">IF($E47&gt;0,((K47*$I47)+K47),"")</f>
      </c>
      <c r="M47" s="127">
        <f t="shared" si="19"/>
      </c>
      <c r="N47" s="127">
        <f t="shared" si="19"/>
      </c>
      <c r="O47" s="572">
        <f t="shared" si="19"/>
      </c>
      <c r="P47" s="369"/>
      <c r="Q47" s="383">
        <f aca="true" t="shared" si="20" ref="Q47:Q56">IF(AND(E47&gt;0,I47&gt;0),E47,0)</f>
        <v>0</v>
      </c>
      <c r="R47" s="369"/>
      <c r="S47" s="369"/>
      <c r="T47" s="369"/>
      <c r="U47" s="369"/>
      <c r="V47" s="369"/>
      <c r="W47" s="369"/>
      <c r="X47" s="369"/>
      <c r="Y47" s="369"/>
      <c r="Z47" s="369"/>
      <c r="AA47" s="369"/>
    </row>
    <row r="48" spans="1:27" ht="14.25" customHeight="1">
      <c r="A48" s="792" t="s">
        <v>196</v>
      </c>
      <c r="B48" s="793"/>
      <c r="C48" s="794"/>
      <c r="D48" s="188"/>
      <c r="E48" s="629"/>
      <c r="F48" s="628"/>
      <c r="G48" s="119">
        <f aca="true" t="shared" si="21" ref="G48:G56">IF(E48=0,"",IF(AND(E48&gt;0,F48&gt;0),E48*F48,E48))</f>
      </c>
      <c r="H48" s="119">
        <f aca="true" t="shared" si="22" ref="H48:H56">IF(G48="","",E48-G48)</f>
      </c>
      <c r="I48" s="764"/>
      <c r="J48" s="765"/>
      <c r="K48" s="122">
        <f t="shared" si="18"/>
      </c>
      <c r="L48" s="122">
        <f t="shared" si="19"/>
      </c>
      <c r="M48" s="122">
        <f t="shared" si="19"/>
      </c>
      <c r="N48" s="122">
        <f t="shared" si="19"/>
      </c>
      <c r="O48" s="568">
        <f t="shared" si="19"/>
      </c>
      <c r="P48" s="369"/>
      <c r="Q48" s="383">
        <f t="shared" si="20"/>
        <v>0</v>
      </c>
      <c r="R48" s="369"/>
      <c r="S48" s="369"/>
      <c r="T48" s="369"/>
      <c r="U48" s="369"/>
      <c r="V48" s="369"/>
      <c r="W48" s="369"/>
      <c r="X48" s="369"/>
      <c r="Y48" s="369"/>
      <c r="Z48" s="369"/>
      <c r="AA48" s="369"/>
    </row>
    <row r="49" spans="1:27" ht="14.25" customHeight="1">
      <c r="A49" s="792" t="s">
        <v>197</v>
      </c>
      <c r="B49" s="793"/>
      <c r="C49" s="794"/>
      <c r="D49" s="188"/>
      <c r="E49" s="629"/>
      <c r="F49" s="628"/>
      <c r="G49" s="119">
        <f t="shared" si="21"/>
      </c>
      <c r="H49" s="119">
        <f t="shared" si="22"/>
      </c>
      <c r="I49" s="764"/>
      <c r="J49" s="765"/>
      <c r="K49" s="122">
        <f t="shared" si="18"/>
      </c>
      <c r="L49" s="122">
        <f t="shared" si="19"/>
      </c>
      <c r="M49" s="122">
        <f t="shared" si="19"/>
      </c>
      <c r="N49" s="122">
        <f t="shared" si="19"/>
      </c>
      <c r="O49" s="568">
        <f t="shared" si="19"/>
      </c>
      <c r="P49" s="369"/>
      <c r="Q49" s="383">
        <f t="shared" si="20"/>
        <v>0</v>
      </c>
      <c r="R49" s="369"/>
      <c r="S49" s="369"/>
      <c r="T49" s="369"/>
      <c r="U49" s="369"/>
      <c r="V49" s="369"/>
      <c r="W49" s="369"/>
      <c r="X49" s="369"/>
      <c r="Y49" s="369"/>
      <c r="Z49" s="369"/>
      <c r="AA49" s="369"/>
    </row>
    <row r="50" spans="1:27" ht="14.25" customHeight="1">
      <c r="A50" s="792" t="s">
        <v>198</v>
      </c>
      <c r="B50" s="793"/>
      <c r="C50" s="794"/>
      <c r="D50" s="188"/>
      <c r="E50" s="629"/>
      <c r="F50" s="628"/>
      <c r="G50" s="119">
        <f t="shared" si="21"/>
      </c>
      <c r="H50" s="119">
        <f t="shared" si="22"/>
      </c>
      <c r="I50" s="764"/>
      <c r="J50" s="765"/>
      <c r="K50" s="122">
        <f t="shared" si="18"/>
      </c>
      <c r="L50" s="122">
        <f t="shared" si="19"/>
      </c>
      <c r="M50" s="122">
        <f t="shared" si="19"/>
      </c>
      <c r="N50" s="122">
        <f t="shared" si="19"/>
      </c>
      <c r="O50" s="568">
        <f t="shared" si="19"/>
      </c>
      <c r="P50" s="369"/>
      <c r="Q50" s="383">
        <f t="shared" si="20"/>
        <v>0</v>
      </c>
      <c r="R50" s="369"/>
      <c r="S50" s="369"/>
      <c r="T50" s="369"/>
      <c r="U50" s="369"/>
      <c r="V50" s="369"/>
      <c r="W50" s="369"/>
      <c r="X50" s="369"/>
      <c r="Y50" s="369"/>
      <c r="Z50" s="369"/>
      <c r="AA50" s="369"/>
    </row>
    <row r="51" spans="1:27" ht="14.25" customHeight="1">
      <c r="A51" s="792" t="s">
        <v>199</v>
      </c>
      <c r="B51" s="793"/>
      <c r="C51" s="794"/>
      <c r="D51" s="188"/>
      <c r="E51" s="629"/>
      <c r="F51" s="628"/>
      <c r="G51" s="119">
        <f t="shared" si="21"/>
      </c>
      <c r="H51" s="119">
        <f t="shared" si="22"/>
      </c>
      <c r="I51" s="764"/>
      <c r="J51" s="765"/>
      <c r="K51" s="122">
        <f>IF($E51&gt;0,((E51*$I51)+E51),"")</f>
      </c>
      <c r="L51" s="122">
        <f aca="true" t="shared" si="23" ref="L51:O55">IF($E51&gt;0,((K51*$I51)+K51),"")</f>
      </c>
      <c r="M51" s="122">
        <f t="shared" si="23"/>
      </c>
      <c r="N51" s="122">
        <f t="shared" si="23"/>
      </c>
      <c r="O51" s="568">
        <f t="shared" si="23"/>
      </c>
      <c r="P51" s="369"/>
      <c r="Q51" s="383">
        <f t="shared" si="20"/>
        <v>0</v>
      </c>
      <c r="R51" s="369"/>
      <c r="S51" s="369"/>
      <c r="T51" s="369"/>
      <c r="U51" s="369"/>
      <c r="V51" s="369"/>
      <c r="W51" s="369"/>
      <c r="X51" s="369"/>
      <c r="Y51" s="369"/>
      <c r="Z51" s="369"/>
      <c r="AA51" s="369"/>
    </row>
    <row r="52" spans="1:27" ht="14.25" customHeight="1">
      <c r="A52" s="792" t="s">
        <v>200</v>
      </c>
      <c r="B52" s="793"/>
      <c r="C52" s="794"/>
      <c r="D52" s="188"/>
      <c r="E52" s="629"/>
      <c r="F52" s="628"/>
      <c r="G52" s="119">
        <f t="shared" si="21"/>
      </c>
      <c r="H52" s="119">
        <f t="shared" si="22"/>
      </c>
      <c r="I52" s="764"/>
      <c r="J52" s="765"/>
      <c r="K52" s="122">
        <f>IF($E52&gt;0,((E52*$I52)+E52),"")</f>
      </c>
      <c r="L52" s="122">
        <f t="shared" si="23"/>
      </c>
      <c r="M52" s="122">
        <f t="shared" si="23"/>
      </c>
      <c r="N52" s="122">
        <f t="shared" si="23"/>
      </c>
      <c r="O52" s="568">
        <f t="shared" si="23"/>
      </c>
      <c r="P52" s="369"/>
      <c r="Q52" s="383">
        <f t="shared" si="20"/>
        <v>0</v>
      </c>
      <c r="R52" s="369"/>
      <c r="S52" s="369"/>
      <c r="T52" s="369"/>
      <c r="U52" s="369"/>
      <c r="V52" s="369"/>
      <c r="W52" s="369"/>
      <c r="X52" s="369"/>
      <c r="Y52" s="369"/>
      <c r="Z52" s="369"/>
      <c r="AA52" s="369"/>
    </row>
    <row r="53" spans="1:27" ht="14.25" customHeight="1">
      <c r="A53" s="792" t="s">
        <v>192</v>
      </c>
      <c r="B53" s="793"/>
      <c r="C53" s="794"/>
      <c r="D53" s="188"/>
      <c r="E53" s="629"/>
      <c r="F53" s="628"/>
      <c r="G53" s="119">
        <f t="shared" si="21"/>
      </c>
      <c r="H53" s="119">
        <f t="shared" si="22"/>
      </c>
      <c r="I53" s="764"/>
      <c r="J53" s="765"/>
      <c r="K53" s="122">
        <f>IF($E53&gt;0,((E53*$I53)+E53),"")</f>
      </c>
      <c r="L53" s="122">
        <f t="shared" si="23"/>
      </c>
      <c r="M53" s="122">
        <f t="shared" si="23"/>
      </c>
      <c r="N53" s="122">
        <f t="shared" si="23"/>
      </c>
      <c r="O53" s="568">
        <f t="shared" si="23"/>
      </c>
      <c r="P53" s="369"/>
      <c r="Q53" s="383">
        <f t="shared" si="20"/>
        <v>0</v>
      </c>
      <c r="R53" s="369"/>
      <c r="S53" s="369"/>
      <c r="T53" s="369"/>
      <c r="U53" s="369"/>
      <c r="V53" s="369"/>
      <c r="W53" s="369"/>
      <c r="X53" s="369"/>
      <c r="Y53" s="369"/>
      <c r="Z53" s="369"/>
      <c r="AA53" s="369"/>
    </row>
    <row r="54" spans="1:27" ht="14.25" customHeight="1">
      <c r="A54" s="792" t="s">
        <v>201</v>
      </c>
      <c r="B54" s="793"/>
      <c r="C54" s="794"/>
      <c r="D54" s="188"/>
      <c r="E54" s="629"/>
      <c r="F54" s="628"/>
      <c r="G54" s="119">
        <f t="shared" si="21"/>
      </c>
      <c r="H54" s="119">
        <f t="shared" si="22"/>
      </c>
      <c r="I54" s="764"/>
      <c r="J54" s="765"/>
      <c r="K54" s="122">
        <f>IF($E54&gt;0,((E54*$I54)+E54),"")</f>
      </c>
      <c r="L54" s="122">
        <f t="shared" si="23"/>
      </c>
      <c r="M54" s="122">
        <f t="shared" si="23"/>
      </c>
      <c r="N54" s="122">
        <f t="shared" si="23"/>
      </c>
      <c r="O54" s="568">
        <f t="shared" si="23"/>
      </c>
      <c r="P54" s="369"/>
      <c r="Q54" s="383">
        <f t="shared" si="20"/>
        <v>0</v>
      </c>
      <c r="R54" s="369"/>
      <c r="S54" s="369"/>
      <c r="T54" s="369"/>
      <c r="U54" s="369"/>
      <c r="V54" s="369"/>
      <c r="W54" s="369"/>
      <c r="X54" s="369"/>
      <c r="Y54" s="369"/>
      <c r="Z54" s="369"/>
      <c r="AA54" s="369"/>
    </row>
    <row r="55" spans="1:27" ht="14.25" customHeight="1">
      <c r="A55" s="792"/>
      <c r="B55" s="793"/>
      <c r="C55" s="794"/>
      <c r="D55" s="188"/>
      <c r="E55" s="629"/>
      <c r="F55" s="628"/>
      <c r="G55" s="119">
        <f t="shared" si="21"/>
      </c>
      <c r="H55" s="119">
        <f t="shared" si="22"/>
      </c>
      <c r="I55" s="764"/>
      <c r="J55" s="765"/>
      <c r="K55" s="122">
        <f>IF($E55&gt;0,((E55*$I55)+E55),"")</f>
      </c>
      <c r="L55" s="122">
        <f t="shared" si="23"/>
      </c>
      <c r="M55" s="122">
        <f t="shared" si="23"/>
      </c>
      <c r="N55" s="122">
        <f t="shared" si="23"/>
      </c>
      <c r="O55" s="568">
        <f t="shared" si="23"/>
      </c>
      <c r="P55" s="369"/>
      <c r="Q55" s="383">
        <f t="shared" si="20"/>
        <v>0</v>
      </c>
      <c r="R55" s="369"/>
      <c r="S55" s="369"/>
      <c r="T55" s="369"/>
      <c r="U55" s="369"/>
      <c r="V55" s="369"/>
      <c r="W55" s="369"/>
      <c r="X55" s="369"/>
      <c r="Y55" s="369"/>
      <c r="Z55" s="369"/>
      <c r="AA55" s="369"/>
    </row>
    <row r="56" spans="1:27" ht="14.25" customHeight="1" thickBot="1">
      <c r="A56" s="792"/>
      <c r="B56" s="793"/>
      <c r="C56" s="794"/>
      <c r="D56" s="188"/>
      <c r="E56" s="629"/>
      <c r="F56" s="628"/>
      <c r="G56" s="119">
        <f t="shared" si="21"/>
      </c>
      <c r="H56" s="119">
        <f t="shared" si="22"/>
      </c>
      <c r="I56" s="764"/>
      <c r="J56" s="765"/>
      <c r="K56" s="122">
        <f t="shared" si="18"/>
      </c>
      <c r="L56" s="122">
        <f t="shared" si="19"/>
      </c>
      <c r="M56" s="122">
        <f t="shared" si="19"/>
      </c>
      <c r="N56" s="122">
        <f t="shared" si="19"/>
      </c>
      <c r="O56" s="568">
        <f t="shared" si="19"/>
      </c>
      <c r="P56" s="369"/>
      <c r="Q56" s="383">
        <f t="shared" si="20"/>
        <v>0</v>
      </c>
      <c r="R56" s="369"/>
      <c r="S56" s="369"/>
      <c r="T56" s="369"/>
      <c r="U56" s="369"/>
      <c r="V56" s="369"/>
      <c r="W56" s="369"/>
      <c r="X56" s="369"/>
      <c r="Y56" s="369"/>
      <c r="Z56" s="369"/>
      <c r="AA56" s="369"/>
    </row>
    <row r="57" spans="1:27" ht="14.25" customHeight="1" thickBot="1">
      <c r="A57" s="797" t="s">
        <v>46</v>
      </c>
      <c r="B57" s="798"/>
      <c r="C57" s="799"/>
      <c r="D57" s="191">
        <f>SUM(D47:D56)</f>
        <v>0</v>
      </c>
      <c r="E57" s="191">
        <f>SUM(E47:E56)</f>
        <v>0</v>
      </c>
      <c r="F57" s="192"/>
      <c r="G57" s="124">
        <f>SUM(G47:G56)</f>
        <v>0</v>
      </c>
      <c r="H57" s="124">
        <f>SUM(H47:H56)</f>
        <v>0</v>
      </c>
      <c r="I57" s="766"/>
      <c r="J57" s="767"/>
      <c r="K57" s="124">
        <f>SUM(K47:K56)</f>
        <v>0</v>
      </c>
      <c r="L57" s="124">
        <f>SUM(L47:L56)</f>
        <v>0</v>
      </c>
      <c r="M57" s="124">
        <f>SUM(M47:M56)</f>
        <v>0</v>
      </c>
      <c r="N57" s="124">
        <f>SUM(N47:N56)</f>
        <v>0</v>
      </c>
      <c r="O57" s="570">
        <f>SUM(O47:O56)</f>
        <v>0</v>
      </c>
      <c r="P57" s="372"/>
      <c r="R57" s="372"/>
      <c r="S57" s="372"/>
      <c r="T57" s="372"/>
      <c r="U57" s="372"/>
      <c r="V57" s="372"/>
      <c r="W57" s="372"/>
      <c r="X57" s="372"/>
      <c r="Y57" s="372"/>
      <c r="Z57" s="372"/>
      <c r="AA57" s="372"/>
    </row>
    <row r="58" spans="1:35" s="110" customFormat="1" ht="14.25" customHeight="1" thickBot="1" thickTop="1">
      <c r="A58" s="815" t="s">
        <v>120</v>
      </c>
      <c r="B58" s="816"/>
      <c r="C58" s="816"/>
      <c r="D58" s="193"/>
      <c r="E58" s="193"/>
      <c r="F58" s="193"/>
      <c r="G58" s="125"/>
      <c r="H58" s="125"/>
      <c r="I58" s="126"/>
      <c r="J58" s="126"/>
      <c r="K58" s="125"/>
      <c r="L58" s="125"/>
      <c r="M58" s="125"/>
      <c r="N58" s="125"/>
      <c r="O58" s="571"/>
      <c r="P58" s="373"/>
      <c r="Q58" s="383"/>
      <c r="R58" s="373"/>
      <c r="S58" s="373"/>
      <c r="T58" s="373"/>
      <c r="U58" s="373"/>
      <c r="V58" s="373"/>
      <c r="W58" s="373"/>
      <c r="X58" s="373"/>
      <c r="Y58" s="373"/>
      <c r="Z58" s="373"/>
      <c r="AA58" s="373"/>
      <c r="AB58" s="373"/>
      <c r="AC58" s="387"/>
      <c r="AD58" s="387"/>
      <c r="AE58" s="387"/>
      <c r="AF58" s="387"/>
      <c r="AG58" s="387"/>
      <c r="AH58" s="387"/>
      <c r="AI58" s="387"/>
    </row>
    <row r="59" spans="1:27" ht="14.25" customHeight="1" thickTop="1">
      <c r="A59" s="783" t="s">
        <v>162</v>
      </c>
      <c r="B59" s="784"/>
      <c r="C59" s="785"/>
      <c r="D59" s="208"/>
      <c r="E59" s="632"/>
      <c r="F59" s="195"/>
      <c r="G59" s="119">
        <f>IF(E59=0,"",IF(AND(E59&gt;0,F59&gt;0),E59*F59,E59))</f>
      </c>
      <c r="H59" s="127">
        <f>IF(G59="","",E59-G59)</f>
      </c>
      <c r="I59" s="764"/>
      <c r="J59" s="765"/>
      <c r="K59" s="127">
        <f>IF($E59&gt;0,((E59*$I59)+E59),"")</f>
      </c>
      <c r="L59" s="127">
        <f aca="true" t="shared" si="24" ref="L59:O62">IF($E59&gt;0,((K59*$I59)+K59),"")</f>
      </c>
      <c r="M59" s="127">
        <f t="shared" si="24"/>
      </c>
      <c r="N59" s="127">
        <f t="shared" si="24"/>
      </c>
      <c r="O59" s="572">
        <f t="shared" si="24"/>
      </c>
      <c r="P59" s="369"/>
      <c r="Q59" s="653">
        <f>IF(E59&gt;0,E59,0)</f>
        <v>0</v>
      </c>
      <c r="R59" s="369"/>
      <c r="S59" s="369"/>
      <c r="T59" s="369"/>
      <c r="U59" s="369"/>
      <c r="V59" s="369"/>
      <c r="W59" s="369"/>
      <c r="X59" s="369"/>
      <c r="Y59" s="369"/>
      <c r="Z59" s="369"/>
      <c r="AA59" s="369"/>
    </row>
    <row r="60" spans="1:27" ht="14.25" customHeight="1">
      <c r="A60" s="792"/>
      <c r="B60" s="820"/>
      <c r="C60" s="821"/>
      <c r="D60" s="188"/>
      <c r="E60" s="629"/>
      <c r="F60" s="198"/>
      <c r="G60" s="119">
        <f>IF(E60=0,"",IF(AND(E60&gt;0,F60&gt;0),E60*F60,E60))</f>
      </c>
      <c r="H60" s="119">
        <f>IF(G60="","",E60-G60)</f>
      </c>
      <c r="I60" s="764"/>
      <c r="J60" s="765"/>
      <c r="K60" s="122">
        <f>IF($E60&gt;0,((E60*$I60)+E60),"")</f>
      </c>
      <c r="L60" s="122">
        <f t="shared" si="24"/>
      </c>
      <c r="M60" s="122">
        <f t="shared" si="24"/>
      </c>
      <c r="N60" s="122">
        <f t="shared" si="24"/>
      </c>
      <c r="O60" s="568">
        <f t="shared" si="24"/>
      </c>
      <c r="P60" s="369"/>
      <c r="Q60" s="653">
        <f>IF(E60&gt;0,E60,0)</f>
        <v>0</v>
      </c>
      <c r="R60" s="369"/>
      <c r="S60" s="369"/>
      <c r="T60" s="369"/>
      <c r="U60" s="369"/>
      <c r="V60" s="369"/>
      <c r="W60" s="369"/>
      <c r="X60" s="369"/>
      <c r="Y60" s="369"/>
      <c r="Z60" s="369"/>
      <c r="AA60" s="369"/>
    </row>
    <row r="61" spans="1:27" ht="14.25" customHeight="1">
      <c r="A61" s="754"/>
      <c r="B61" s="755"/>
      <c r="C61" s="756"/>
      <c r="D61" s="188"/>
      <c r="E61" s="189"/>
      <c r="F61" s="198"/>
      <c r="G61" s="119">
        <f>IF(E61=0,"",IF(AND(E61&gt;0,F61&gt;0),E61*F61,E61))</f>
      </c>
      <c r="H61" s="119">
        <f>IF(G61="","",E61-G61)</f>
      </c>
      <c r="I61" s="764"/>
      <c r="J61" s="765"/>
      <c r="K61" s="122">
        <f>IF($E61&gt;0,((E61*$I61)+E61),"")</f>
      </c>
      <c r="L61" s="122">
        <f t="shared" si="24"/>
      </c>
      <c r="M61" s="122">
        <f t="shared" si="24"/>
      </c>
      <c r="N61" s="122">
        <f t="shared" si="24"/>
      </c>
      <c r="O61" s="568">
        <f t="shared" si="24"/>
      </c>
      <c r="P61" s="369"/>
      <c r="Q61" s="653">
        <f>IF(E61&gt;0,E61,0)</f>
        <v>0</v>
      </c>
      <c r="R61" s="369"/>
      <c r="S61" s="369"/>
      <c r="T61" s="369"/>
      <c r="U61" s="369"/>
      <c r="V61" s="369"/>
      <c r="W61" s="369"/>
      <c r="X61" s="369"/>
      <c r="Y61" s="369"/>
      <c r="Z61" s="369"/>
      <c r="AA61" s="369"/>
    </row>
    <row r="62" spans="1:27" ht="14.25" customHeight="1" thickBot="1">
      <c r="A62" s="754"/>
      <c r="B62" s="755"/>
      <c r="C62" s="756"/>
      <c r="D62" s="209"/>
      <c r="E62" s="210"/>
      <c r="F62" s="202"/>
      <c r="G62" s="119">
        <f>IF(E62=0,"",IF(AND(E62&gt;0,F62&gt;0),E62*F62,E62))</f>
      </c>
      <c r="H62" s="119">
        <f>IF(G62="","",E62-G62)</f>
      </c>
      <c r="I62" s="764"/>
      <c r="J62" s="765"/>
      <c r="K62" s="123">
        <f>IF($E62&gt;0,((E62*$I62)+E62),"")</f>
      </c>
      <c r="L62" s="123">
        <f t="shared" si="24"/>
      </c>
      <c r="M62" s="123">
        <f t="shared" si="24"/>
      </c>
      <c r="N62" s="123">
        <f t="shared" si="24"/>
      </c>
      <c r="O62" s="569">
        <f t="shared" si="24"/>
      </c>
      <c r="P62" s="369"/>
      <c r="Q62" s="653">
        <f>IF(E62&gt;0,E62,0)</f>
        <v>0</v>
      </c>
      <c r="R62" s="369"/>
      <c r="S62" s="369"/>
      <c r="T62" s="369"/>
      <c r="U62" s="369"/>
      <c r="V62" s="369"/>
      <c r="W62" s="369"/>
      <c r="X62" s="369"/>
      <c r="Y62" s="369"/>
      <c r="Z62" s="369"/>
      <c r="AA62" s="369"/>
    </row>
    <row r="63" spans="1:27" ht="14.25" customHeight="1" thickBot="1">
      <c r="A63" s="770" t="s">
        <v>46</v>
      </c>
      <c r="B63" s="771"/>
      <c r="C63" s="772"/>
      <c r="D63" s="191">
        <f>SUM(D59:D62)</f>
        <v>0</v>
      </c>
      <c r="E63" s="191">
        <f>SUM(E59:E62)</f>
        <v>0</v>
      </c>
      <c r="F63" s="192"/>
      <c r="G63" s="124">
        <f>SUM(G59:G62)</f>
        <v>0</v>
      </c>
      <c r="H63" s="124">
        <f>SUM(H59:H62)</f>
        <v>0</v>
      </c>
      <c r="I63" s="766"/>
      <c r="J63" s="767"/>
      <c r="K63" s="124">
        <f>CEILING(SUM(K59:K62),1)</f>
        <v>0</v>
      </c>
      <c r="L63" s="124">
        <f>CEILING(SUM(L59:L62),1)</f>
        <v>0</v>
      </c>
      <c r="M63" s="124">
        <f>CEILING(SUM(M59:M62),1)</f>
        <v>0</v>
      </c>
      <c r="N63" s="124">
        <f>CEILING(SUM(N59:N62),1)</f>
        <v>0</v>
      </c>
      <c r="O63" s="570">
        <f>CEILING(SUM(O59:O62),1)</f>
        <v>0</v>
      </c>
      <c r="P63" s="372"/>
      <c r="Q63" s="638"/>
      <c r="R63" s="372"/>
      <c r="S63" s="372"/>
      <c r="T63" s="372"/>
      <c r="U63" s="372"/>
      <c r="V63" s="372"/>
      <c r="W63" s="372"/>
      <c r="X63" s="372"/>
      <c r="Y63" s="372"/>
      <c r="Z63" s="372"/>
      <c r="AA63" s="372"/>
    </row>
    <row r="64" spans="1:27" ht="14.25" customHeight="1" thickBot="1" thickTop="1">
      <c r="A64" s="812" t="s">
        <v>138</v>
      </c>
      <c r="B64" s="813"/>
      <c r="C64" s="814"/>
      <c r="D64" s="503">
        <f>CEILING(SUM(D13,D26,D32,D45,D57,D63),1)</f>
        <v>0</v>
      </c>
      <c r="E64" s="211">
        <f>CEILING(SUM(E13,E26,E32,E45,E57,E63),1)</f>
        <v>0</v>
      </c>
      <c r="F64" s="763" t="s">
        <v>160</v>
      </c>
      <c r="G64" s="737"/>
      <c r="H64" s="738"/>
      <c r="I64" s="768">
        <f>IF(K65&gt;0,K65/E64,"")</f>
      </c>
      <c r="J64" s="769"/>
      <c r="K64" s="146">
        <f>CEILING(SUM(K63,K57,K45,K32,K26,K13),1)</f>
        <v>0</v>
      </c>
      <c r="L64" s="146">
        <f>CEILING(SUM(L63,L57,L45,L32,L26,L13),1)</f>
        <v>0</v>
      </c>
      <c r="M64" s="146">
        <f>CEILING(SUM(M63,M57,M45,M32,M26,M13),1)</f>
        <v>0</v>
      </c>
      <c r="N64" s="146">
        <f>CEILING(SUM(N63,N57,N45,N32,N26,N13),1)</f>
        <v>0</v>
      </c>
      <c r="O64" s="672">
        <f>CEILING(SUM(O63,O57,O45,O32,O26,O13),1)</f>
        <v>0</v>
      </c>
      <c r="P64" s="372"/>
      <c r="Q64" s="657">
        <f>SUM(Q4:Q62)</f>
        <v>0</v>
      </c>
      <c r="R64" s="372"/>
      <c r="S64" s="372"/>
      <c r="T64" s="372"/>
      <c r="U64" s="372"/>
      <c r="V64" s="372"/>
      <c r="W64" s="372"/>
      <c r="X64" s="372"/>
      <c r="Y64" s="372"/>
      <c r="Z64" s="372"/>
      <c r="AA64" s="372"/>
    </row>
    <row r="65" spans="1:27" ht="14.25" customHeight="1" thickBot="1" thickTop="1">
      <c r="A65" s="757" t="s">
        <v>114</v>
      </c>
      <c r="B65" s="758"/>
      <c r="C65" s="758"/>
      <c r="D65" s="758"/>
      <c r="E65" s="758"/>
      <c r="F65" s="758"/>
      <c r="G65" s="758"/>
      <c r="H65" s="758"/>
      <c r="I65" s="758"/>
      <c r="J65" s="759"/>
      <c r="K65" s="147">
        <f>CEILING(K64-E64,1)</f>
        <v>0</v>
      </c>
      <c r="L65" s="147">
        <f>CEILING(L64-K64,1)</f>
        <v>0</v>
      </c>
      <c r="M65" s="147">
        <f>CEILING(M64-L64,1)</f>
        <v>0</v>
      </c>
      <c r="N65" s="147">
        <f>CEILING(N64-M64,1)</f>
        <v>0</v>
      </c>
      <c r="O65" s="673">
        <f>CEILING(O64-N64,1)</f>
        <v>0</v>
      </c>
      <c r="P65" s="372"/>
      <c r="Q65" s="638"/>
      <c r="R65" s="372"/>
      <c r="S65" s="372"/>
      <c r="T65" s="372"/>
      <c r="U65" s="372"/>
      <c r="V65" s="372"/>
      <c r="W65" s="372"/>
      <c r="X65" s="372"/>
      <c r="Y65" s="372"/>
      <c r="Z65" s="372"/>
      <c r="AA65" s="372"/>
    </row>
    <row r="66" spans="1:35" s="110" customFormat="1" ht="14.25" customHeight="1" thickBot="1" thickTop="1">
      <c r="A66" s="822" t="s">
        <v>121</v>
      </c>
      <c r="B66" s="823"/>
      <c r="C66" s="824"/>
      <c r="D66" s="212" t="s">
        <v>56</v>
      </c>
      <c r="E66" s="585">
        <f>IF(E64=0,0,IF(E97="N/A",E92+E67-E74,IF(AND(E97&lt;=0,E67&gt;0,E74=0),E67,IF(AND(E97&lt;0,E74&lt;E67),E97,IF(E97&lt;0,E96-E64+E92-E74,IF(R97&gt;=0,Q96-E74,0))))))</f>
        <v>0</v>
      </c>
      <c r="F66" s="553"/>
      <c r="G66" s="760" t="s">
        <v>56</v>
      </c>
      <c r="H66" s="761"/>
      <c r="I66" s="761"/>
      <c r="J66" s="762"/>
      <c r="K66" s="567">
        <f>IF(OR(E96=0,AND(K95=K75,Q89=0)),0,IF(OR(E96=0,AND(K95=K75,Q89=0)),0,IF(AND((K67+Q89+K92)-K74=0,Q92&gt;0),Q92,(K67+Q89+K92)-K74)))</f>
        <v>0</v>
      </c>
      <c r="L66" s="567">
        <f>IF(OR(K96="---",K96&lt;0,K66&gt;0),0,IF(AND(L74=L92+L67,R89=0),0,IF(AND(L95=L75,R89=0),0,(L67+R89+L92)-L74)))</f>
        <v>0</v>
      </c>
      <c r="M66" s="567">
        <f>IF(OR(L96="---",L96&lt;0,L66&gt;0),0,IF(AND(M74=M92+M67,S89=0),0,IF(AND(M95=M75,S89=0),0,(M67+S89+M92)-M74)))</f>
        <v>0</v>
      </c>
      <c r="N66" s="567">
        <f>IF(OR(M96="---",M96&lt;0,M66&gt;0),0,IF(AND(N74=N92+N67,T89=0),0,IF(AND(N95=N75,T89=0),0,(N67+T89+N92)-N74)))</f>
        <v>0</v>
      </c>
      <c r="O66" s="674">
        <f>IF(OR(N96="---",N96&lt;0,N66&gt;0),0,IF(AND(O74=O92+O67,U89=0),0,IF(AND(O95=O75,U89=0),0,(O67+U89+O92)-O74)))</f>
        <v>0</v>
      </c>
      <c r="R66" s="658"/>
      <c r="S66" s="658"/>
      <c r="T66"/>
      <c r="U66"/>
      <c r="V66" s="373"/>
      <c r="W66" s="373"/>
      <c r="X66" s="373"/>
      <c r="Y66" s="373"/>
      <c r="Z66" s="373"/>
      <c r="AA66" s="373"/>
      <c r="AB66" s="373"/>
      <c r="AC66" s="387"/>
      <c r="AD66" s="387"/>
      <c r="AE66" s="387"/>
      <c r="AF66" s="387"/>
      <c r="AG66" s="387"/>
      <c r="AH66" s="387"/>
      <c r="AI66" s="387"/>
    </row>
    <row r="67" spans="1:35" s="110" customFormat="1" ht="16.5" customHeight="1" thickBot="1" thickTop="1">
      <c r="A67" s="562" t="s">
        <v>49</v>
      </c>
      <c r="B67" s="213"/>
      <c r="C67" s="213"/>
      <c r="D67" s="583"/>
      <c r="E67" s="586">
        <f>'Reserve Fund Calculator'!D6</f>
        <v>0</v>
      </c>
      <c r="F67" s="584"/>
      <c r="G67" s="554">
        <f>IF(E67=0,"",IF(AND(E67&gt;0,F67&gt;0),E67*F67,E67))</f>
      </c>
      <c r="H67" s="554">
        <f>IF(G67="","",E67-G67)</f>
      </c>
      <c r="I67" s="541"/>
      <c r="J67" s="542"/>
      <c r="K67" s="119">
        <f>IF($E$67=0,0,IF(AND($E$67&gt;0,X67=0),$E$67,0))</f>
        <v>0</v>
      </c>
      <c r="L67" s="119">
        <f>IF($E$67=0,0,IF(AND($E$67&gt;0,Y67=0),$E$67,0))</f>
        <v>0</v>
      </c>
      <c r="M67" s="119">
        <f>IF($E$67=0,0,IF(AND($E$67&gt;0,Z67=0),$E$67,0))</f>
        <v>0</v>
      </c>
      <c r="N67" s="119">
        <f>IF($E$67=0,0,IF(AND($E$67&gt;0,AA67=0),$E$67,0))</f>
        <v>0</v>
      </c>
      <c r="O67" s="675">
        <f>IF($E$67=0,0,IF(AND($E$67&gt;0,AB67=0),$E$67,0))</f>
        <v>0</v>
      </c>
      <c r="Q67" s="375"/>
      <c r="R67" s="662"/>
      <c r="S67" s="373"/>
      <c r="T67" s="373"/>
      <c r="U67" s="373"/>
      <c r="V67" s="373"/>
      <c r="W67" s="373"/>
      <c r="X67" s="655">
        <f>IF(SUM('Reserve Fund Calculator'!$E12:$E31)=0,0,IF(LARGE('Reserve Fund Calculator'!$E12:$E31,1)&lt;2,1,0))</f>
        <v>0</v>
      </c>
      <c r="Y67" s="655">
        <f>IF(SUM('Reserve Fund Calculator'!$E12:$E31)=0,0,IF(LARGE('Reserve Fund Calculator'!$E12:$E31,1)&lt;3,1,0))</f>
        <v>0</v>
      </c>
      <c r="Z67" s="655">
        <f>IF(SUM('Reserve Fund Calculator'!$E12:$E31)=0,0,IF(LARGE('Reserve Fund Calculator'!$E12:$E31,1)&lt;4,1,0))</f>
        <v>0</v>
      </c>
      <c r="AA67" s="655">
        <f>IF(SUM('Reserve Fund Calculator'!$E12:$E31)=0,0,IF(LARGE('Reserve Fund Calculator'!$E12:$E31,1)&lt;5,1,0))</f>
        <v>0</v>
      </c>
      <c r="AB67" s="655">
        <f>IF(SUM('Reserve Fund Calculator'!$E12:$E31)=0,0,IF(LARGE('Reserve Fund Calculator'!$E12:$E31,1)&lt;6,1,0))</f>
        <v>0</v>
      </c>
      <c r="AC67" s="656">
        <f>SUM(X67:AB67)</f>
        <v>0</v>
      </c>
      <c r="AD67" s="387"/>
      <c r="AE67" s="387"/>
      <c r="AF67" s="387"/>
      <c r="AG67" s="387"/>
      <c r="AH67" s="387"/>
      <c r="AI67" s="387"/>
    </row>
    <row r="68" spans="1:27" ht="14.25" customHeight="1" thickTop="1">
      <c r="A68" s="731" t="s">
        <v>155</v>
      </c>
      <c r="B68" s="773"/>
      <c r="C68" s="773"/>
      <c r="D68" s="214"/>
      <c r="E68" s="633"/>
      <c r="F68" s="839" t="str">
        <f>IF(AND(E96&gt;0,E97&lt;0,NOT(E95=E96),NOT(E66=0)),"Proposed Expenditures exceed cash avilable!! - Adjust rates or non-operating revenue!","TO RESERVES!        Place budget line 67 and budget line 92 into reserve accounts here.")</f>
        <v>TO RESERVES!        Place budget line 67 and budget line 92 into reserve accounts here.</v>
      </c>
      <c r="G68" s="840"/>
      <c r="H68" s="840"/>
      <c r="I68" s="840"/>
      <c r="J68" s="841"/>
      <c r="K68" s="636"/>
      <c r="L68" s="636"/>
      <c r="M68" s="636"/>
      <c r="N68" s="636"/>
      <c r="O68" s="676"/>
      <c r="P68" s="369"/>
      <c r="Q68" s="695"/>
      <c r="R68" s="377"/>
      <c r="S68" s="369"/>
      <c r="T68" s="369"/>
      <c r="U68" s="369"/>
      <c r="V68" s="369"/>
      <c r="W68" s="369"/>
      <c r="X68" s="369"/>
      <c r="Y68" s="369"/>
      <c r="Z68" s="369"/>
      <c r="AA68" s="369"/>
    </row>
    <row r="69" spans="1:27" ht="14.25" customHeight="1">
      <c r="A69" s="731" t="s">
        <v>176</v>
      </c>
      <c r="B69" s="732"/>
      <c r="C69" s="733"/>
      <c r="D69" s="214"/>
      <c r="E69" s="633"/>
      <c r="F69" s="842"/>
      <c r="G69" s="842"/>
      <c r="H69" s="842"/>
      <c r="I69" s="842"/>
      <c r="J69" s="843"/>
      <c r="K69" s="636"/>
      <c r="L69" s="557"/>
      <c r="M69" s="557"/>
      <c r="N69" s="557"/>
      <c r="O69" s="677"/>
      <c r="P69" s="377"/>
      <c r="Q69" s="663"/>
      <c r="R69" s="376"/>
      <c r="S69" s="369"/>
      <c r="T69" s="369"/>
      <c r="U69" s="369"/>
      <c r="V69" s="369"/>
      <c r="W69" s="369"/>
      <c r="X69" s="369"/>
      <c r="Y69" s="369"/>
      <c r="Z69" s="369"/>
      <c r="AA69" s="369"/>
    </row>
    <row r="70" spans="1:27" ht="14.25" customHeight="1">
      <c r="A70" s="734" t="s">
        <v>170</v>
      </c>
      <c r="B70" s="735"/>
      <c r="C70" s="735"/>
      <c r="D70" s="214"/>
      <c r="E70" s="633"/>
      <c r="F70" s="842"/>
      <c r="G70" s="842"/>
      <c r="H70" s="842"/>
      <c r="I70" s="842"/>
      <c r="J70" s="843"/>
      <c r="K70" s="636"/>
      <c r="L70" s="557"/>
      <c r="M70" s="557"/>
      <c r="N70" s="557"/>
      <c r="O70" s="677"/>
      <c r="P70" s="369"/>
      <c r="Q70" s="663"/>
      <c r="R70" s="376"/>
      <c r="S70" s="369"/>
      <c r="T70" s="369"/>
      <c r="U70" s="369"/>
      <c r="V70" s="369"/>
      <c r="W70" s="369"/>
      <c r="X70" s="369"/>
      <c r="Y70" s="369"/>
      <c r="Z70" s="369"/>
      <c r="AA70" s="369"/>
    </row>
    <row r="71" spans="1:30" ht="14.25" customHeight="1">
      <c r="A71" s="731" t="s">
        <v>202</v>
      </c>
      <c r="B71" s="732"/>
      <c r="C71" s="733"/>
      <c r="D71" s="214"/>
      <c r="E71" s="633"/>
      <c r="F71" s="842"/>
      <c r="G71" s="842"/>
      <c r="H71" s="842"/>
      <c r="I71" s="842"/>
      <c r="J71" s="843"/>
      <c r="K71" s="636"/>
      <c r="L71" s="557"/>
      <c r="M71" s="557"/>
      <c r="N71" s="557"/>
      <c r="O71" s="678"/>
      <c r="P71" s="369"/>
      <c r="R71" s="369"/>
      <c r="S71" s="369"/>
      <c r="T71" s="369"/>
      <c r="U71" s="369"/>
      <c r="V71" s="369"/>
      <c r="W71" s="369"/>
      <c r="X71" s="369"/>
      <c r="Y71" s="369"/>
      <c r="Z71" s="369"/>
      <c r="AA71" s="369"/>
      <c r="AD71" s="652"/>
    </row>
    <row r="72" spans="1:27" ht="14.25" customHeight="1">
      <c r="A72" s="734" t="s">
        <v>161</v>
      </c>
      <c r="B72" s="735"/>
      <c r="C72" s="735"/>
      <c r="D72" s="214"/>
      <c r="E72" s="633"/>
      <c r="F72" s="844"/>
      <c r="G72" s="844"/>
      <c r="H72" s="844"/>
      <c r="I72" s="844"/>
      <c r="J72" s="845"/>
      <c r="K72" s="636"/>
      <c r="L72" s="557"/>
      <c r="M72" s="557"/>
      <c r="N72" s="557"/>
      <c r="O72" s="678"/>
      <c r="P72" s="369"/>
      <c r="R72" s="369"/>
      <c r="S72" s="369"/>
      <c r="T72" s="369"/>
      <c r="U72" s="369"/>
      <c r="V72" s="369"/>
      <c r="W72" s="369"/>
      <c r="X72" s="369"/>
      <c r="Y72" s="369"/>
      <c r="Z72" s="369"/>
      <c r="AA72" s="369"/>
    </row>
    <row r="73" spans="1:27" ht="14.25" customHeight="1" thickBot="1">
      <c r="A73" s="731"/>
      <c r="B73" s="732"/>
      <c r="C73" s="733"/>
      <c r="D73" s="203"/>
      <c r="E73" s="633"/>
      <c r="F73" s="844"/>
      <c r="G73" s="844"/>
      <c r="H73" s="844"/>
      <c r="I73" s="844"/>
      <c r="J73" s="845"/>
      <c r="K73" s="557"/>
      <c r="L73" s="557"/>
      <c r="M73" s="557"/>
      <c r="N73" s="557"/>
      <c r="O73" s="679"/>
      <c r="P73" s="369"/>
      <c r="R73" s="369"/>
      <c r="S73" s="369"/>
      <c r="T73" s="369"/>
      <c r="U73" s="369"/>
      <c r="V73" s="369"/>
      <c r="W73" s="369"/>
      <c r="X73" s="369"/>
      <c r="Y73" s="369"/>
      <c r="Z73" s="369"/>
      <c r="AA73" s="369"/>
    </row>
    <row r="74" spans="1:27" ht="14.25" customHeight="1" thickBot="1" thickTop="1">
      <c r="A74" s="736" t="s">
        <v>51</v>
      </c>
      <c r="B74" s="737"/>
      <c r="C74" s="738"/>
      <c r="D74" s="211">
        <f>SUM(D68:D73)</f>
        <v>0</v>
      </c>
      <c r="E74" s="215">
        <f>SUM(E68:E73)</f>
        <v>0</v>
      </c>
      <c r="F74" s="846"/>
      <c r="G74" s="846"/>
      <c r="H74" s="846"/>
      <c r="I74" s="846"/>
      <c r="J74" s="847"/>
      <c r="K74" s="639">
        <f>SUM(K68:K73)</f>
        <v>0</v>
      </c>
      <c r="L74" s="639">
        <f>SUM(L68:L73)</f>
        <v>0</v>
      </c>
      <c r="M74" s="639">
        <f>SUM(M68:M73)</f>
        <v>0</v>
      </c>
      <c r="N74" s="639">
        <f>SUM(N68:N73)</f>
        <v>0</v>
      </c>
      <c r="O74" s="680">
        <f>SUM(O68:O73)</f>
        <v>0</v>
      </c>
      <c r="P74" s="369"/>
      <c r="R74" s="369"/>
      <c r="S74" s="369"/>
      <c r="T74" s="369"/>
      <c r="U74" s="369"/>
      <c r="V74" s="377"/>
      <c r="W74" s="369"/>
      <c r="X74" s="369"/>
      <c r="Y74" s="369"/>
      <c r="Z74" s="369"/>
      <c r="AA74" s="369"/>
    </row>
    <row r="75" spans="1:35" ht="17.25" customHeight="1" thickBot="1" thickTop="1">
      <c r="A75" s="809" t="s">
        <v>50</v>
      </c>
      <c r="B75" s="810"/>
      <c r="C75" s="811"/>
      <c r="D75" s="216">
        <f>SUM(D13,D26,D32,D45,D57,D63,D74)</f>
        <v>0</v>
      </c>
      <c r="E75" s="216">
        <f>CEILING(SUM(E13,E26,E32,E45,E57,E63,E74),1)</f>
        <v>0</v>
      </c>
      <c r="F75" s="217">
        <f>IF(G75&gt;0,G75/(G75+H75),"")</f>
      </c>
      <c r="G75" s="130">
        <f>CEILING(SUM(G13,G26,G32,G45,G57,G63,G67),1)</f>
        <v>0</v>
      </c>
      <c r="H75" s="130">
        <f>SUM(H13,H26,H32,H45,H57,H63,H67)</f>
        <v>0</v>
      </c>
      <c r="I75" s="131"/>
      <c r="J75" s="131"/>
      <c r="K75" s="130">
        <f>IF(E97&gt;0,CEILING(SUM(K64,K74),1),IF($Q$83&lt;0,CEILING(SUM(K64,K74,-$Q$83),1),CEILING(SUM(K64,K74),1)))</f>
        <v>0</v>
      </c>
      <c r="L75" s="130">
        <f>IF($E$97&gt;0,CEILING(SUM(L64,L74),1),CEILING(SUM(L64,L74,-$Q$83),1))</f>
        <v>0</v>
      </c>
      <c r="M75" s="130">
        <f>IF($E$97&gt;0,CEILING(SUM(M64,M74),1),CEILING(SUM(M64,M74,-$Q$83),1))</f>
        <v>0</v>
      </c>
      <c r="N75" s="130">
        <f>IF($E$97&gt;0,CEILING(SUM(N64,N74),1),CEILING(SUM(N64,N74,-$Q$83),1))</f>
        <v>0</v>
      </c>
      <c r="O75" s="681">
        <f>IF($E$97&gt;0,CEILING(SUM(O64,O74),1),CEILING(SUM(O64,O74,-$Q$83),1))</f>
        <v>0</v>
      </c>
      <c r="P75" s="35"/>
      <c r="R75" s="603"/>
      <c r="S75" s="378"/>
      <c r="T75" s="35"/>
      <c r="U75" s="35"/>
      <c r="V75" s="35"/>
      <c r="W75" s="35"/>
      <c r="X75" s="35"/>
      <c r="Y75" s="35"/>
      <c r="Z75" s="35"/>
      <c r="AA75" s="35"/>
      <c r="AB75" s="35"/>
      <c r="AC75" s="56"/>
      <c r="AD75" s="666"/>
      <c r="AE75" s="56"/>
      <c r="AF75" s="56"/>
      <c r="AG75" s="56"/>
      <c r="AH75" s="56"/>
      <c r="AI75" s="56"/>
    </row>
    <row r="76" spans="1:35" s="110" customFormat="1" ht="16.5" customHeight="1" thickBot="1" thickTop="1">
      <c r="A76" s="739" t="s">
        <v>54</v>
      </c>
      <c r="B76" s="740"/>
      <c r="C76" s="741"/>
      <c r="D76" s="218" t="s">
        <v>92</v>
      </c>
      <c r="E76" s="219"/>
      <c r="F76" s="220"/>
      <c r="G76" s="134"/>
      <c r="H76" s="132"/>
      <c r="I76" s="132"/>
      <c r="J76" s="133"/>
      <c r="K76" s="135"/>
      <c r="L76" s="136"/>
      <c r="M76" s="136"/>
      <c r="N76" s="136"/>
      <c r="O76" s="682"/>
      <c r="P76" s="379"/>
      <c r="Q76"/>
      <c r="R76" s="382"/>
      <c r="S76" s="379"/>
      <c r="T76" s="379"/>
      <c r="U76" s="379"/>
      <c r="V76" s="379"/>
      <c r="W76" s="379"/>
      <c r="X76" s="379"/>
      <c r="Y76" s="379"/>
      <c r="Z76" s="379"/>
      <c r="AA76" s="379"/>
      <c r="AB76" s="373"/>
      <c r="AC76" s="387"/>
      <c r="AD76" s="387"/>
      <c r="AE76" s="387"/>
      <c r="AF76" s="387"/>
      <c r="AG76" s="387"/>
      <c r="AH76" s="387"/>
      <c r="AI76" s="387"/>
    </row>
    <row r="77" spans="1:27" ht="18" customHeight="1" thickTop="1">
      <c r="A77" s="862" t="s">
        <v>52</v>
      </c>
      <c r="B77" s="863"/>
      <c r="C77" s="864"/>
      <c r="D77" s="221"/>
      <c r="E77" s="634"/>
      <c r="F77" s="745" t="s">
        <v>181</v>
      </c>
      <c r="G77" s="746"/>
      <c r="H77" s="746"/>
      <c r="I77" s="746"/>
      <c r="J77" s="747"/>
      <c r="K77" s="222"/>
      <c r="L77" s="222"/>
      <c r="M77" s="222"/>
      <c r="N77" s="222"/>
      <c r="O77" s="683"/>
      <c r="P77" s="369"/>
      <c r="Q77" s="671" t="b">
        <f>IF(Q78&lt;0,-Q78)</f>
        <v>0</v>
      </c>
      <c r="R77" s="369"/>
      <c r="S77" s="369"/>
      <c r="T77" s="369"/>
      <c r="U77" s="369"/>
      <c r="V77" s="369"/>
      <c r="W77" s="369"/>
      <c r="X77" s="369"/>
      <c r="Y77" s="369"/>
      <c r="Z77" s="369"/>
      <c r="AA77" s="369"/>
    </row>
    <row r="78" spans="1:27" ht="18" customHeight="1">
      <c r="A78" s="861"/>
      <c r="B78" s="865"/>
      <c r="C78" s="866"/>
      <c r="D78" s="223"/>
      <c r="E78" s="633"/>
      <c r="F78" s="720"/>
      <c r="G78" s="721"/>
      <c r="H78" s="721"/>
      <c r="I78" s="721"/>
      <c r="J78" s="722"/>
      <c r="K78" s="224"/>
      <c r="L78" s="224"/>
      <c r="M78" s="224"/>
      <c r="N78" s="224"/>
      <c r="O78" s="684"/>
      <c r="P78" s="369"/>
      <c r="Q78" s="671">
        <f>IF(E96&lt;E95,0,E96-(E64+E67)-E74)</f>
        <v>0</v>
      </c>
      <c r="R78" s="369"/>
      <c r="S78" s="369"/>
      <c r="T78" s="369"/>
      <c r="U78" s="369"/>
      <c r="V78" s="369"/>
      <c r="W78" s="369"/>
      <c r="X78" s="369"/>
      <c r="Y78" s="369"/>
      <c r="Z78" s="369"/>
      <c r="AA78" s="369"/>
    </row>
    <row r="79" spans="1:27" ht="18" customHeight="1">
      <c r="A79" s="719"/>
      <c r="B79" s="867"/>
      <c r="C79" s="868"/>
      <c r="D79" s="225"/>
      <c r="E79" s="633"/>
      <c r="F79" s="720"/>
      <c r="G79" s="721"/>
      <c r="H79" s="721"/>
      <c r="I79" s="721"/>
      <c r="J79" s="722"/>
      <c r="K79" s="224"/>
      <c r="L79" s="224"/>
      <c r="M79" s="224"/>
      <c r="N79" s="224"/>
      <c r="O79" s="684"/>
      <c r="P79" s="369"/>
      <c r="Q79"/>
      <c r="R79" s="369"/>
      <c r="S79" s="369"/>
      <c r="T79" s="369"/>
      <c r="U79" s="369"/>
      <c r="V79" s="369"/>
      <c r="W79" s="369"/>
      <c r="X79" s="369"/>
      <c r="Y79" s="369"/>
      <c r="Z79" s="369"/>
      <c r="AA79" s="369"/>
    </row>
    <row r="80" spans="1:27" ht="18" customHeight="1">
      <c r="A80" s="719"/>
      <c r="B80" s="714"/>
      <c r="C80" s="715"/>
      <c r="D80" s="225"/>
      <c r="E80" s="633"/>
      <c r="F80" s="720"/>
      <c r="G80" s="721"/>
      <c r="H80" s="721"/>
      <c r="I80" s="721"/>
      <c r="J80" s="722"/>
      <c r="K80" s="558"/>
      <c r="L80" s="558"/>
      <c r="M80" s="558"/>
      <c r="N80" s="558"/>
      <c r="O80" s="685"/>
      <c r="P80" s="369"/>
      <c r="R80" s="383"/>
      <c r="S80" s="369"/>
      <c r="T80" s="369"/>
      <c r="U80" s="369"/>
      <c r="V80" s="369"/>
      <c r="W80" s="369"/>
      <c r="X80" s="369"/>
      <c r="Y80" s="369"/>
      <c r="Z80" s="369"/>
      <c r="AA80" s="369"/>
    </row>
    <row r="81" spans="1:27" ht="18" customHeight="1">
      <c r="A81" s="719"/>
      <c r="B81" s="714"/>
      <c r="C81" s="715"/>
      <c r="D81" s="225"/>
      <c r="E81" s="633"/>
      <c r="F81" s="720"/>
      <c r="G81" s="721"/>
      <c r="H81" s="721"/>
      <c r="I81" s="721"/>
      <c r="J81" s="722"/>
      <c r="K81" s="558"/>
      <c r="L81" s="558"/>
      <c r="M81" s="558"/>
      <c r="N81" s="558"/>
      <c r="O81" s="685"/>
      <c r="P81" s="369"/>
      <c r="R81" s="379"/>
      <c r="S81" s="369"/>
      <c r="T81" s="369"/>
      <c r="U81" s="369"/>
      <c r="V81" s="369"/>
      <c r="W81" s="369"/>
      <c r="X81" s="369"/>
      <c r="Y81" s="369"/>
      <c r="Z81" s="369"/>
      <c r="AA81" s="369"/>
    </row>
    <row r="82" spans="1:27" ht="18" customHeight="1" thickBot="1">
      <c r="A82" s="869"/>
      <c r="B82" s="870"/>
      <c r="C82" s="871"/>
      <c r="D82" s="223"/>
      <c r="E82" s="670"/>
      <c r="F82" s="748"/>
      <c r="G82" s="749"/>
      <c r="H82" s="749"/>
      <c r="I82" s="749"/>
      <c r="J82" s="750"/>
      <c r="K82" s="558"/>
      <c r="L82" s="558"/>
      <c r="M82" s="558"/>
      <c r="N82" s="558"/>
      <c r="O82" s="685"/>
      <c r="P82" s="369"/>
      <c r="Q82" s="664"/>
      <c r="R82"/>
      <c r="S82"/>
      <c r="T82"/>
      <c r="U82" s="664"/>
      <c r="V82" s="369"/>
      <c r="W82" s="369"/>
      <c r="X82" s="369"/>
      <c r="Y82" s="369"/>
      <c r="Z82" s="369"/>
      <c r="AA82" s="369"/>
    </row>
    <row r="83" spans="1:35" s="111" customFormat="1" ht="15" customHeight="1" thickBot="1" thickTop="1">
      <c r="A83" s="539" t="s">
        <v>57</v>
      </c>
      <c r="B83" s="540"/>
      <c r="C83" s="540"/>
      <c r="D83" s="226"/>
      <c r="E83" s="226"/>
      <c r="F83" s="227"/>
      <c r="G83" s="137"/>
      <c r="H83" s="137"/>
      <c r="I83" s="137"/>
      <c r="J83" s="137"/>
      <c r="K83" s="137"/>
      <c r="L83" s="137"/>
      <c r="M83" s="137"/>
      <c r="N83" s="137"/>
      <c r="O83" s="686"/>
      <c r="P83" s="380"/>
      <c r="Q83" s="667">
        <f>IF(AND(E92&gt;0,(E92-E74)&lt;0),E92-E74,IF(AND(E74&gt;0,E92=0),-(E74-E67),0))</f>
        <v>0</v>
      </c>
      <c r="R83" s="662"/>
      <c r="S83" s="662"/>
      <c r="T83" s="662"/>
      <c r="U83" s="662"/>
      <c r="V83" s="381"/>
      <c r="W83" s="381"/>
      <c r="X83" s="381"/>
      <c r="Y83" s="381"/>
      <c r="Z83" s="381"/>
      <c r="AA83" s="381"/>
      <c r="AB83" s="381"/>
      <c r="AC83" s="388"/>
      <c r="AD83" s="388"/>
      <c r="AE83" s="388"/>
      <c r="AF83" s="388"/>
      <c r="AG83" s="388"/>
      <c r="AH83" s="388"/>
      <c r="AI83" s="388"/>
    </row>
    <row r="84" spans="1:35" s="110" customFormat="1" ht="15" customHeight="1" thickTop="1">
      <c r="A84" s="702" t="s">
        <v>156</v>
      </c>
      <c r="B84" s="703"/>
      <c r="C84" s="703"/>
      <c r="D84" s="225"/>
      <c r="E84" s="635"/>
      <c r="F84" s="751" t="s">
        <v>172</v>
      </c>
      <c r="G84" s="752"/>
      <c r="H84" s="752"/>
      <c r="I84" s="752"/>
      <c r="J84" s="753"/>
      <c r="K84" s="138">
        <f>IF(AND($E$96&gt;0,E96&gt;=E95),E74-(SUM(E77:E82)),IF(AND($E$96&gt;0,E96&lt;E95),E74-(SUM(E77:E82)),0))</f>
        <v>0</v>
      </c>
      <c r="L84" s="138">
        <f>IF(K95&gt;0,K74-SUM(K77:K82)-K94,0)</f>
        <v>0</v>
      </c>
      <c r="M84" s="138">
        <f>IF(L95&gt;0,L74-SUM(L77:L82)-L94,0)</f>
        <v>0</v>
      </c>
      <c r="N84" s="138">
        <f>IF(M95&gt;0,M74-SUM(M77:M82)-M94,0)</f>
        <v>0</v>
      </c>
      <c r="O84" s="687">
        <f>IF(N95&gt;0,N74-SUM(N77:N82)-N94,0)</f>
        <v>0</v>
      </c>
      <c r="P84" s="382"/>
      <c r="Q84" s="669">
        <f>IF(AND(E92&gt;0,(E92-E74)&lt;0),E92-E74,IF(AND(E74&gt;0,E92=0),-(E74-E67),0))</f>
        <v>0</v>
      </c>
      <c r="V84" s="373"/>
      <c r="W84" s="373"/>
      <c r="X84" s="373"/>
      <c r="Y84" s="373"/>
      <c r="Z84" s="373"/>
      <c r="AA84" s="373"/>
      <c r="AB84" s="373"/>
      <c r="AC84" s="387"/>
      <c r="AD84" s="387"/>
      <c r="AE84" s="387"/>
      <c r="AF84" s="387"/>
      <c r="AG84" s="387"/>
      <c r="AH84" s="387"/>
      <c r="AI84" s="387"/>
    </row>
    <row r="85" spans="1:35" s="110" customFormat="1" ht="15" customHeight="1">
      <c r="A85" s="710"/>
      <c r="B85" s="711"/>
      <c r="C85" s="706"/>
      <c r="D85" s="229"/>
      <c r="E85" s="635"/>
      <c r="F85" s="704" t="s">
        <v>180</v>
      </c>
      <c r="G85" s="705"/>
      <c r="H85" s="705"/>
      <c r="I85" s="705"/>
      <c r="J85" s="701"/>
      <c r="K85" s="228"/>
      <c r="L85" s="228"/>
      <c r="M85" s="228"/>
      <c r="N85" s="228"/>
      <c r="O85" s="688"/>
      <c r="P85" s="373"/>
      <c r="Q85" s="653" t="str">
        <f>IF(E96=0,"N/A",IF(AND(Q83&lt;0,R97&gt;0),E96-E75,IF(R97&lt;0,R97,IF(Q83=0,-(E75-E95),IF(Q84&lt;0,-Q84,IF(AND(Q96&gt;0),-Q96,R97))))))</f>
        <v>N/A</v>
      </c>
      <c r="R85" s="382"/>
      <c r="S85" s="382"/>
      <c r="T85" s="382"/>
      <c r="U85" s="382"/>
      <c r="V85" s="382"/>
      <c r="W85" s="373"/>
      <c r="X85" s="373"/>
      <c r="Y85" s="373"/>
      <c r="Z85" s="373"/>
      <c r="AA85" s="373"/>
      <c r="AB85" s="373"/>
      <c r="AC85" s="387"/>
      <c r="AD85" s="387"/>
      <c r="AE85" s="387"/>
      <c r="AF85" s="387"/>
      <c r="AG85" s="387"/>
      <c r="AH85" s="387"/>
      <c r="AI85" s="387"/>
    </row>
    <row r="86" spans="1:35" s="110" customFormat="1" ht="15" customHeight="1">
      <c r="A86" s="710" t="s">
        <v>152</v>
      </c>
      <c r="B86" s="726"/>
      <c r="C86" s="727"/>
      <c r="D86" s="229"/>
      <c r="E86" s="635"/>
      <c r="F86" s="720"/>
      <c r="G86" s="721"/>
      <c r="H86" s="721"/>
      <c r="I86" s="721"/>
      <c r="J86" s="722"/>
      <c r="K86" s="228"/>
      <c r="L86" s="228"/>
      <c r="M86" s="228"/>
      <c r="N86" s="228"/>
      <c r="O86" s="688"/>
      <c r="P86" s="373"/>
      <c r="R86" s="373"/>
      <c r="S86" s="373"/>
      <c r="T86" s="373"/>
      <c r="U86" s="373"/>
      <c r="V86" s="373"/>
      <c r="W86" s="373"/>
      <c r="X86" s="373"/>
      <c r="Y86" s="373"/>
      <c r="Z86" s="373"/>
      <c r="AA86" s="373"/>
      <c r="AB86" s="373"/>
      <c r="AC86" s="387"/>
      <c r="AD86" s="387"/>
      <c r="AE86" s="387"/>
      <c r="AF86" s="387"/>
      <c r="AG86" s="387"/>
      <c r="AH86" s="387"/>
      <c r="AI86" s="387"/>
    </row>
    <row r="87" spans="1:35" s="110" customFormat="1" ht="15" customHeight="1">
      <c r="A87" s="710" t="s">
        <v>157</v>
      </c>
      <c r="B87" s="726"/>
      <c r="C87" s="727"/>
      <c r="D87" s="223"/>
      <c r="E87" s="635"/>
      <c r="F87" s="720"/>
      <c r="G87" s="721"/>
      <c r="H87" s="721"/>
      <c r="I87" s="721"/>
      <c r="J87" s="722"/>
      <c r="K87" s="635"/>
      <c r="L87" s="635"/>
      <c r="M87" s="635"/>
      <c r="N87" s="635"/>
      <c r="O87" s="688"/>
      <c r="P87" s="373"/>
      <c r="Q87" s="717" t="s">
        <v>173</v>
      </c>
      <c r="R87" s="718"/>
      <c r="S87" s="718"/>
      <c r="T87" s="718"/>
      <c r="U87" s="718"/>
      <c r="V87" s="373"/>
      <c r="W87" s="373"/>
      <c r="X87" s="373"/>
      <c r="Y87" s="373"/>
      <c r="Z87" s="373"/>
      <c r="AA87" s="373"/>
      <c r="AB87" s="373"/>
      <c r="AC87" s="387"/>
      <c r="AD87" s="387"/>
      <c r="AE87" s="387"/>
      <c r="AF87" s="387"/>
      <c r="AG87" s="387"/>
      <c r="AH87" s="387"/>
      <c r="AI87" s="387"/>
    </row>
    <row r="88" spans="1:35" s="110" customFormat="1" ht="15" customHeight="1">
      <c r="A88" s="710" t="s">
        <v>158</v>
      </c>
      <c r="B88" s="726"/>
      <c r="C88" s="727"/>
      <c r="D88" s="223"/>
      <c r="E88" s="635"/>
      <c r="F88" s="720"/>
      <c r="G88" s="721"/>
      <c r="H88" s="721"/>
      <c r="I88" s="721"/>
      <c r="J88" s="722"/>
      <c r="K88" s="635"/>
      <c r="L88" s="635"/>
      <c r="M88" s="635"/>
      <c r="N88" s="635"/>
      <c r="O88" s="688"/>
      <c r="P88" s="373"/>
      <c r="Q88" s="661">
        <f>+K2</f>
        <v>2009</v>
      </c>
      <c r="R88" s="661">
        <f>+L2</f>
        <v>2010</v>
      </c>
      <c r="S88" s="661">
        <f>+M2</f>
        <v>2011</v>
      </c>
      <c r="T88" s="661">
        <f>+N2</f>
        <v>2012</v>
      </c>
      <c r="U88" s="661">
        <v>2012</v>
      </c>
      <c r="V88" s="373"/>
      <c r="W88" s="373"/>
      <c r="X88" s="373"/>
      <c r="Y88" s="373"/>
      <c r="Z88" s="373"/>
      <c r="AA88" s="373"/>
      <c r="AB88" s="373"/>
      <c r="AC88" s="387"/>
      <c r="AD88" s="387"/>
      <c r="AE88" s="387"/>
      <c r="AF88" s="387"/>
      <c r="AG88" s="387"/>
      <c r="AH88" s="387"/>
      <c r="AI88" s="387"/>
    </row>
    <row r="89" spans="1:21" ht="14.25" customHeight="1">
      <c r="A89" s="710" t="s">
        <v>163</v>
      </c>
      <c r="B89" s="711"/>
      <c r="C89" s="706"/>
      <c r="D89" s="223"/>
      <c r="E89" s="635"/>
      <c r="F89" s="720"/>
      <c r="G89" s="721"/>
      <c r="H89" s="721"/>
      <c r="I89" s="721"/>
      <c r="J89" s="722"/>
      <c r="K89" s="635"/>
      <c r="L89" s="635"/>
      <c r="M89" s="635"/>
      <c r="N89" s="635"/>
      <c r="O89" s="688"/>
      <c r="Q89" s="660">
        <f>IF(E97="N/A",0,IF(K93+K94+E97+E97&gt;=L65,(K93+K94)-K65+E97-E66,0))</f>
        <v>0</v>
      </c>
      <c r="R89" s="660">
        <f>IF(R90=0,0,IF(L93+L94&gt;=L65+K94,(L93+L94)-K94-L65+Q89,0))</f>
        <v>0</v>
      </c>
      <c r="S89" s="660">
        <f>IF(S90=0,0,IF(M93+M94&gt;=M65+L94,(M93+M94)-L94-M65+R89,0))</f>
        <v>0</v>
      </c>
      <c r="T89" s="660">
        <f>IF(T90=0,0,IF(N93+N94&gt;=N65+M94,(N93+N94)-M94-N65+S89,0))</f>
        <v>0</v>
      </c>
      <c r="U89" s="660">
        <f>IF(U90=0,0,IF(O93+O94&gt;=O65+N94,(O93+O94)-N94-O65+T89,0))</f>
        <v>0</v>
      </c>
    </row>
    <row r="90" spans="1:21" ht="14.25" customHeight="1">
      <c r="A90" s="710"/>
      <c r="B90" s="711"/>
      <c r="C90" s="706"/>
      <c r="D90" s="223"/>
      <c r="E90" s="635"/>
      <c r="F90" s="720"/>
      <c r="G90" s="721"/>
      <c r="H90" s="721"/>
      <c r="I90" s="721"/>
      <c r="J90" s="722"/>
      <c r="K90" s="635"/>
      <c r="L90" s="635"/>
      <c r="M90" s="635"/>
      <c r="N90" s="635"/>
      <c r="O90" s="688"/>
      <c r="R90" s="383" t="b">
        <f>IF($E$96+L92+SUM($K$93:L94)&lt;L75,0,IF(L92&gt;L74,0))</f>
        <v>0</v>
      </c>
      <c r="S90" s="383" t="b">
        <f>IF($E$96+M92+SUM($K$93:M94)&lt;M75,0,IF(M92&gt;M74,0))</f>
        <v>0</v>
      </c>
      <c r="T90" s="383" t="b">
        <f>IF($E$96+N92+SUM($K$93:N94)&lt;N75,0,IF(N92&gt;N74,0))</f>
        <v>0</v>
      </c>
      <c r="U90" s="383" t="b">
        <f>IF($E$96+O92+SUM($K$93:O94)&lt;O75,0,IF(O92&gt;O74,0))</f>
        <v>0</v>
      </c>
    </row>
    <row r="91" spans="1:15" ht="14.25" customHeight="1" thickBot="1">
      <c r="A91" s="710"/>
      <c r="B91" s="711"/>
      <c r="C91" s="706"/>
      <c r="D91" s="223"/>
      <c r="E91" s="635"/>
      <c r="F91" s="720"/>
      <c r="G91" s="721"/>
      <c r="H91" s="721"/>
      <c r="I91" s="721"/>
      <c r="J91" s="722"/>
      <c r="K91" s="635"/>
      <c r="L91" s="228"/>
      <c r="M91" s="228"/>
      <c r="N91" s="228"/>
      <c r="O91" s="684"/>
    </row>
    <row r="92" spans="1:22" ht="14.25" customHeight="1" thickBot="1" thickTop="1">
      <c r="A92" s="707" t="s">
        <v>149</v>
      </c>
      <c r="B92" s="708"/>
      <c r="C92" s="709"/>
      <c r="D92" s="551">
        <f>SUM(D84:D91)</f>
        <v>0</v>
      </c>
      <c r="E92" s="551">
        <f>SUM(E84:E91)</f>
        <v>0</v>
      </c>
      <c r="F92" s="723"/>
      <c r="G92" s="724"/>
      <c r="H92" s="724"/>
      <c r="I92" s="724"/>
      <c r="J92" s="725"/>
      <c r="K92" s="139">
        <f>SUM(K84:K91)</f>
        <v>0</v>
      </c>
      <c r="L92" s="139">
        <f>SUM(L84:L91)</f>
        <v>0</v>
      </c>
      <c r="M92" s="139">
        <f>SUM(M84:M91)</f>
        <v>0</v>
      </c>
      <c r="N92" s="139">
        <f>SUM(N84:N91)</f>
        <v>0</v>
      </c>
      <c r="O92" s="689">
        <f>SUM(O84:O91)</f>
        <v>0</v>
      </c>
      <c r="Q92" s="654">
        <f>IF(K95&gt;0,-(K75-K95),0)</f>
        <v>0</v>
      </c>
      <c r="R92" s="654">
        <f>IF(NOT(L95="---"),-(L75-L95),0)</f>
        <v>0</v>
      </c>
      <c r="S92" s="654">
        <f>IF(NOT(M95="---"),-(M75-M95),0)</f>
        <v>0</v>
      </c>
      <c r="T92" s="654">
        <f>IF(NOT(N95="---"),-(N75-N95),0)</f>
        <v>0</v>
      </c>
      <c r="U92" s="654">
        <f>IF(NOT(O95="---"),-(O75-O95),0)</f>
        <v>0</v>
      </c>
      <c r="V92" s="576"/>
    </row>
    <row r="93" spans="1:22" ht="14.25" customHeight="1" thickTop="1">
      <c r="A93" s="861"/>
      <c r="B93" s="714"/>
      <c r="C93" s="714"/>
      <c r="D93" s="714"/>
      <c r="E93" s="714"/>
      <c r="F93" s="715"/>
      <c r="G93" s="859" t="s">
        <v>171</v>
      </c>
      <c r="H93" s="860"/>
      <c r="I93" s="860"/>
      <c r="J93" s="860"/>
      <c r="K93" s="557"/>
      <c r="L93" s="557"/>
      <c r="M93" s="557"/>
      <c r="N93" s="557"/>
      <c r="O93" s="690"/>
      <c r="P93" s="383"/>
      <c r="Q93" s="575"/>
      <c r="R93" s="575"/>
      <c r="S93" s="575"/>
      <c r="T93" s="575"/>
      <c r="U93" s="575"/>
      <c r="V93" s="577"/>
    </row>
    <row r="94" spans="1:22" ht="14.25" customHeight="1" thickBot="1">
      <c r="A94" s="742"/>
      <c r="B94" s="743"/>
      <c r="C94" s="743"/>
      <c r="D94" s="743"/>
      <c r="E94" s="744"/>
      <c r="F94" s="744"/>
      <c r="G94" s="552"/>
      <c r="H94" s="552"/>
      <c r="I94" s="552"/>
      <c r="J94" s="552" t="s">
        <v>53</v>
      </c>
      <c r="K94" s="557"/>
      <c r="L94" s="557"/>
      <c r="M94" s="557"/>
      <c r="N94" s="557"/>
      <c r="O94" s="691"/>
      <c r="Q94"/>
      <c r="R94"/>
      <c r="S94" s="577"/>
      <c r="T94" s="577"/>
      <c r="U94" s="577"/>
      <c r="V94" s="577"/>
    </row>
    <row r="95" spans="1:22" ht="16.5" customHeight="1" thickBot="1" thickTop="1">
      <c r="A95" s="872" t="s">
        <v>147</v>
      </c>
      <c r="B95" s="873"/>
      <c r="C95" s="873"/>
      <c r="D95" s="874"/>
      <c r="E95" s="851">
        <f>Q97</f>
        <v>0</v>
      </c>
      <c r="F95" s="852"/>
      <c r="G95" s="716" t="s">
        <v>177</v>
      </c>
      <c r="H95" s="713"/>
      <c r="I95" s="713"/>
      <c r="J95" s="712"/>
      <c r="K95" s="140">
        <f>IF(OR(AND(E97&gt;0,E74=0),E96=0),0,IF(AND(E96&gt;0,E97&gt;0,K92&lt;0),E96,$E$96+K92+(K93+K94)))</f>
        <v>0</v>
      </c>
      <c r="L95" s="140">
        <f>IF(OR(K66&lt;0,K95=0,K96&lt;0,K66&gt;0),0,$E$96+L92+$K$93+SUM(L93:L94)+R89)</f>
        <v>0</v>
      </c>
      <c r="M95" s="140">
        <f>IF(OR(L66&lt;0,L95=0,L96&lt;0,L66&gt;0),0,$E$96+M92+SUM($K$93:L93)+SUM(M93:M94)+S89)</f>
        <v>0</v>
      </c>
      <c r="N95" s="140">
        <f>IF(OR(M66&lt;0,M95=0,M96&lt;0,M66&gt;0),0,$E$96+N92+SUM($K$93:M93)+SUM(N93:N94)+T89)</f>
        <v>0</v>
      </c>
      <c r="O95" s="692">
        <f>IF(OR(N66&lt;0,N95=0,N96&lt;0,N66&gt;0),0,$E$96+O92+SUM($K$93:N93)+SUM(O93:O94)+U89)</f>
        <v>0</v>
      </c>
      <c r="P95" s="383"/>
      <c r="Q95"/>
      <c r="R95"/>
      <c r="S95" s="374"/>
      <c r="T95" s="575"/>
      <c r="U95" s="575"/>
      <c r="V95" s="577"/>
    </row>
    <row r="96" spans="1:18" ht="15" customHeight="1" thickBot="1" thickTop="1">
      <c r="A96" s="848" t="s">
        <v>148</v>
      </c>
      <c r="B96" s="849"/>
      <c r="C96" s="849"/>
      <c r="D96" s="850"/>
      <c r="E96" s="853">
        <f>IF(AND('Rate Calculator'!R14&gt;0,NOT('Rate Calculator'!R14="")),FLOOR('Rate Calculator'!R14,1),0)</f>
        <v>0</v>
      </c>
      <c r="F96" s="852"/>
      <c r="G96" s="728" t="s">
        <v>175</v>
      </c>
      <c r="H96" s="729"/>
      <c r="I96" s="729"/>
      <c r="J96" s="730"/>
      <c r="K96" s="578" t="str">
        <f>IF(OR(K95=0,E96=0),"---",IF(Q89&gt;0,Q89,IF(Q92=0,0,Q92)))</f>
        <v>---</v>
      </c>
      <c r="L96" s="578" t="str">
        <f>IF(OR(L95=0,L66&gt;0),"---",IF(R89&gt;0,R89,IF(R92=0,0,R92)))</f>
        <v>---</v>
      </c>
      <c r="M96" s="578" t="str">
        <f>IF(OR(M95=0,M66&gt;0),"---",IF(AND(M95&gt;M75,S89&gt;0),S89,IF(S92=0,0,S92)))</f>
        <v>---</v>
      </c>
      <c r="N96" s="578" t="str">
        <f>IF(OR(N95=0,N66&gt;0),"---",IF(T89&gt;0,T89,IF(T92=0,0,T92)))</f>
        <v>---</v>
      </c>
      <c r="O96" s="693" t="str">
        <f>IF(OR(O95=0,O66&gt;0),"---",IF(U89&gt;0,U89,IF(U92=0,0,U92)))</f>
        <v>---</v>
      </c>
      <c r="Q96" s="653">
        <f>E96-E64+E92</f>
        <v>0</v>
      </c>
      <c r="R96" s="655">
        <f>IF(E75-E92-Q98&gt;0,CEILING(E75-E92-Q98,1),0)</f>
        <v>0</v>
      </c>
    </row>
    <row r="97" spans="1:20" ht="15" customHeight="1" thickBot="1" thickTop="1">
      <c r="A97" s="848" t="str">
        <f>IF(AND(E96&gt;0,E97&gt;0),"Rate Overage:",IF(E97&lt;0,"Rate Deficit:","Budget Balance:"))</f>
        <v>Budget Balance:</v>
      </c>
      <c r="B97" s="849"/>
      <c r="C97" s="849"/>
      <c r="D97" s="850"/>
      <c r="E97" s="854" t="str">
        <f>IF(E96=0,"N/A",IF(R97&gt;0,R97,IF(AND(Q83&lt;0,R97&gt;0),E96-E75,IF(R97&lt;0,R97,IF(Q83=0,-(E75-E95),IF(AND(Q77&gt;0,R97&lt;&gt;0),-Q77,IF(AND(R97&lt;0,Q84&lt;0),Q84,Q97-Q98)))))))</f>
        <v>N/A</v>
      </c>
      <c r="F97" s="855"/>
      <c r="G97" s="856" t="s">
        <v>174</v>
      </c>
      <c r="H97" s="857"/>
      <c r="I97" s="857"/>
      <c r="J97" s="858"/>
      <c r="K97" s="659">
        <f>IF('Rate Calculator'!$R$8=0,"",IF(K93&gt;0,K93/'Rate Calculator'!$R$8/'Rate Calculator'!$J$10,""))</f>
      </c>
      <c r="L97" s="659">
        <f>IF('Rate Calculator'!$R$8=0,"",IF(L93&gt;0,L93/'Rate Calculator'!$R$8/'Rate Calculator'!$J$10,""))</f>
      </c>
      <c r="M97" s="659">
        <f>IF('Rate Calculator'!$R$8=0,"",IF(M93&gt;0,M93/'Rate Calculator'!$R$8/'Rate Calculator'!$J$10,""))</f>
      </c>
      <c r="N97" s="659">
        <f>IF('Rate Calculator'!$R$8=0,"",IF(N93&gt;0,N93/'Rate Calculator'!$R$8/'Rate Calculator'!$J$10,""))</f>
      </c>
      <c r="O97" s="694">
        <f>IF('Rate Calculator'!$R$8=0,"",IF(O93&gt;0,O93/'Rate Calculator'!$R$8/'Rate Calculator'!$J$10,""))</f>
      </c>
      <c r="Q97" s="653">
        <f>IF(E96=0,E75-E92,IF(AND(Q83&lt;0,Q96&lt;0,E92=0),CEILING(E64+E74,1),IF(AND(Q83&lt;0,Q96&lt;0),CEILING(E64+E67,1),IF(AND(E67=0,E74=0,E92=0),CEILING(E64+E67+(E74-E92),1),IF(CEILING(E75-E92,1)+R96&lt;Q98,Q98,CEILING(E75-E92,1)-R96)))))</f>
        <v>0</v>
      </c>
      <c r="R97" s="665">
        <f>IF(E96&gt;0,E96-Q97,0)</f>
        <v>0</v>
      </c>
      <c r="S97" s="383"/>
      <c r="T97" s="368">
        <f>IF(E96=0,E75-E92,IF(AND(Q83&lt;0,Q96&lt;0,E92=0),CEILING(E64+E74,1),IF(AND(Q83&lt;0,Q96&lt;0),CEILING(E64+E67,1),IF(AND(E67=0,E74=0,E92=0),CEILING(E64+E67+(E74-E92),1),IF(E92=0,E75,CEILING(E75-E92,1))))))</f>
        <v>0</v>
      </c>
    </row>
    <row r="98" spans="1:22" ht="18" customHeight="1" thickTop="1">
      <c r="A98"/>
      <c r="B98"/>
      <c r="C98"/>
      <c r="D98"/>
      <c r="E98"/>
      <c r="F98"/>
      <c r="G98" s="501"/>
      <c r="H98" s="502"/>
      <c r="I98" s="502"/>
      <c r="J98" s="502"/>
      <c r="K98"/>
      <c r="L98"/>
      <c r="M98"/>
      <c r="N98"/>
      <c r="O98"/>
      <c r="Q98" s="653">
        <f>CEILING(E64+E67,1)</f>
        <v>0</v>
      </c>
      <c r="R98" s="368">
        <f>IF(E96=0,E75-E92,IF(AND(Q83&lt;0,Q96&lt;0,E92=0),CEILING(E64+E74,1),IF(AND(Q83&lt;0,Q96&lt;0),CEILING(E64+E67,1),IF(AND(E67=0,E74=0,E92=0),CEILING(E64+E67+(E74-E92),1),IF(E92=0,E75-E97,CEILING(E75-E92,1))))))</f>
        <v>0</v>
      </c>
      <c r="V98" s="383"/>
    </row>
    <row r="99" spans="1:15" ht="12.75" customHeight="1">
      <c r="A99" s="563"/>
      <c r="B99" s="564"/>
      <c r="C99" s="564"/>
      <c r="D99" s="565"/>
      <c r="E99" s="565"/>
      <c r="F99" s="565"/>
      <c r="G99" s="566"/>
      <c r="H99" s="566"/>
      <c r="I99" s="566"/>
      <c r="J99" s="566"/>
      <c r="K99"/>
      <c r="L99"/>
      <c r="M99"/>
      <c r="N99"/>
      <c r="O99"/>
    </row>
    <row r="100" spans="1:10" ht="14.25" customHeight="1">
      <c r="A100" s="550"/>
      <c r="B100" s="550"/>
      <c r="C100" s="550"/>
      <c r="D100" s="148"/>
      <c r="E100" s="148"/>
      <c r="F100" s="148"/>
      <c r="G100"/>
      <c r="H100"/>
      <c r="I100"/>
      <c r="J100"/>
    </row>
    <row r="101" spans="1:10" ht="14.25" customHeight="1">
      <c r="A101" s="230"/>
      <c r="B101" s="231"/>
      <c r="C101" s="231"/>
      <c r="E101" s="231"/>
      <c r="F101" s="233"/>
      <c r="G101" s="114"/>
      <c r="H101" s="112"/>
      <c r="I101" s="112"/>
      <c r="J101" s="112"/>
    </row>
    <row r="102" spans="1:10" ht="14.25" customHeight="1">
      <c r="A102" s="230"/>
      <c r="B102" s="231"/>
      <c r="C102" s="231"/>
      <c r="E102" s="231"/>
      <c r="F102" s="233"/>
      <c r="G102" s="114"/>
      <c r="H102" s="112"/>
      <c r="I102" s="112"/>
      <c r="J102" s="112"/>
    </row>
    <row r="103" spans="1:10" ht="14.25" customHeight="1">
      <c r="A103" s="230"/>
      <c r="B103" s="231"/>
      <c r="C103" s="231"/>
      <c r="E103" s="231"/>
      <c r="F103" s="233"/>
      <c r="G103" s="114"/>
      <c r="H103" s="112"/>
      <c r="I103" s="112"/>
      <c r="J103" s="112"/>
    </row>
    <row r="104" spans="1:10" ht="14.25" customHeight="1">
      <c r="A104" s="230"/>
      <c r="B104" s="231"/>
      <c r="C104" s="231"/>
      <c r="E104" s="231"/>
      <c r="F104" s="233"/>
      <c r="G104" s="114"/>
      <c r="H104" s="112"/>
      <c r="I104" s="112"/>
      <c r="J104" s="112"/>
    </row>
    <row r="105" spans="1:10" ht="14.25" customHeight="1">
      <c r="A105" s="230"/>
      <c r="B105" s="231"/>
      <c r="C105" s="231"/>
      <c r="E105" s="231"/>
      <c r="F105" s="233"/>
      <c r="G105" s="114"/>
      <c r="H105" s="112"/>
      <c r="I105" s="112"/>
      <c r="J105" s="112"/>
    </row>
    <row r="106" spans="1:10" ht="14.25" customHeight="1">
      <c r="A106" s="230"/>
      <c r="B106" s="231"/>
      <c r="C106" s="231"/>
      <c r="E106" s="231"/>
      <c r="F106" s="233"/>
      <c r="G106" s="114"/>
      <c r="H106" s="112"/>
      <c r="I106" s="112"/>
      <c r="J106" s="112"/>
    </row>
    <row r="107" spans="1:10" ht="15">
      <c r="A107" s="230"/>
      <c r="B107" s="231"/>
      <c r="C107" s="231"/>
      <c r="E107" s="231"/>
      <c r="F107" s="233"/>
      <c r="G107" s="114"/>
      <c r="H107" s="112"/>
      <c r="I107" s="112"/>
      <c r="J107" s="112"/>
    </row>
    <row r="108" spans="1:10" ht="15">
      <c r="A108" s="230"/>
      <c r="B108" s="231"/>
      <c r="C108" s="231"/>
      <c r="E108" s="231"/>
      <c r="F108" s="233"/>
      <c r="G108" s="114"/>
      <c r="H108" s="112"/>
      <c r="I108" s="112"/>
      <c r="J108" s="112"/>
    </row>
    <row r="109" spans="1:10" ht="15">
      <c r="A109" s="230"/>
      <c r="B109" s="231"/>
      <c r="C109" s="231"/>
      <c r="E109" s="231"/>
      <c r="F109" s="233"/>
      <c r="G109" s="114"/>
      <c r="H109" s="112"/>
      <c r="I109" s="112"/>
      <c r="J109" s="112"/>
    </row>
    <row r="110" spans="1:10" ht="15">
      <c r="A110" s="230"/>
      <c r="B110" s="231"/>
      <c r="C110" s="231"/>
      <c r="E110" s="231"/>
      <c r="F110" s="233"/>
      <c r="G110" s="114"/>
      <c r="H110" s="112"/>
      <c r="I110" s="112"/>
      <c r="J110" s="112"/>
    </row>
    <row r="111" spans="1:10" ht="15">
      <c r="A111" s="230"/>
      <c r="B111" s="231"/>
      <c r="C111" s="231"/>
      <c r="E111" s="231"/>
      <c r="F111" s="233"/>
      <c r="G111" s="114"/>
      <c r="H111" s="112"/>
      <c r="I111" s="112"/>
      <c r="J111" s="112"/>
    </row>
    <row r="112" spans="1:10" ht="15">
      <c r="A112" s="230"/>
      <c r="B112" s="231"/>
      <c r="C112" s="231"/>
      <c r="E112" s="231"/>
      <c r="F112" s="233"/>
      <c r="G112" s="114"/>
      <c r="H112" s="112"/>
      <c r="I112" s="112"/>
      <c r="J112" s="112"/>
    </row>
    <row r="113" spans="1:10" ht="15">
      <c r="A113" s="230"/>
      <c r="B113" s="231"/>
      <c r="C113" s="231"/>
      <c r="E113" s="231"/>
      <c r="F113" s="233"/>
      <c r="G113" s="114"/>
      <c r="H113" s="112"/>
      <c r="I113" s="112"/>
      <c r="J113" s="112"/>
    </row>
    <row r="114" spans="1:10" ht="15">
      <c r="A114" s="230"/>
      <c r="B114" s="231"/>
      <c r="C114" s="231"/>
      <c r="E114" s="231"/>
      <c r="F114" s="233"/>
      <c r="G114" s="114"/>
      <c r="H114" s="112"/>
      <c r="I114" s="112"/>
      <c r="J114" s="112"/>
    </row>
    <row r="115" spans="1:10" ht="15">
      <c r="A115" s="230"/>
      <c r="B115" s="231"/>
      <c r="C115" s="231"/>
      <c r="E115" s="231"/>
      <c r="F115" s="233"/>
      <c r="G115" s="114"/>
      <c r="H115" s="112"/>
      <c r="I115" s="112"/>
      <c r="J115" s="112"/>
    </row>
    <row r="116" spans="1:10" ht="15">
      <c r="A116" s="230"/>
      <c r="B116" s="231"/>
      <c r="C116" s="231"/>
      <c r="E116" s="231"/>
      <c r="F116" s="233"/>
      <c r="G116" s="114"/>
      <c r="H116" s="112"/>
      <c r="I116" s="112"/>
      <c r="J116" s="112"/>
    </row>
    <row r="117" spans="1:10" ht="15">
      <c r="A117" s="230"/>
      <c r="B117" s="231"/>
      <c r="C117" s="231"/>
      <c r="E117" s="231"/>
      <c r="F117" s="233"/>
      <c r="G117" s="114"/>
      <c r="H117" s="112"/>
      <c r="I117" s="112"/>
      <c r="J117" s="112"/>
    </row>
    <row r="118" spans="1:10" ht="15">
      <c r="A118" s="230"/>
      <c r="B118" s="231"/>
      <c r="C118" s="231"/>
      <c r="E118" s="231"/>
      <c r="F118" s="233"/>
      <c r="G118" s="114"/>
      <c r="H118" s="112"/>
      <c r="I118" s="112"/>
      <c r="J118" s="112"/>
    </row>
    <row r="119" spans="1:10" ht="15">
      <c r="A119" s="230"/>
      <c r="B119" s="231"/>
      <c r="C119" s="231"/>
      <c r="E119" s="231"/>
      <c r="F119" s="233"/>
      <c r="G119" s="114"/>
      <c r="H119" s="112"/>
      <c r="I119" s="112"/>
      <c r="J119" s="112"/>
    </row>
    <row r="120" spans="1:10" ht="15">
      <c r="A120" s="230"/>
      <c r="B120" s="231"/>
      <c r="C120" s="231"/>
      <c r="E120" s="231"/>
      <c r="F120" s="233"/>
      <c r="G120" s="114"/>
      <c r="H120" s="112"/>
      <c r="I120" s="112"/>
      <c r="J120" s="112"/>
    </row>
    <row r="121" spans="1:10" ht="15">
      <c r="A121" s="230"/>
      <c r="B121" s="231"/>
      <c r="C121" s="231"/>
      <c r="E121" s="231"/>
      <c r="F121" s="233"/>
      <c r="G121" s="114"/>
      <c r="H121" s="112"/>
      <c r="I121" s="112"/>
      <c r="J121" s="112"/>
    </row>
    <row r="122" spans="1:10" ht="15">
      <c r="A122" s="230"/>
      <c r="B122" s="231"/>
      <c r="C122" s="231"/>
      <c r="E122" s="231"/>
      <c r="F122" s="233"/>
      <c r="G122" s="114"/>
      <c r="H122" s="112"/>
      <c r="I122" s="112"/>
      <c r="J122" s="112"/>
    </row>
    <row r="123" spans="1:10" ht="15">
      <c r="A123" s="230"/>
      <c r="B123" s="231"/>
      <c r="C123" s="231"/>
      <c r="E123" s="231"/>
      <c r="F123" s="233"/>
      <c r="G123" s="114"/>
      <c r="H123" s="112"/>
      <c r="I123" s="112"/>
      <c r="J123" s="112"/>
    </row>
    <row r="124" spans="1:10" ht="15">
      <c r="A124" s="230"/>
      <c r="B124" s="231"/>
      <c r="C124" s="231"/>
      <c r="E124" s="231"/>
      <c r="F124" s="233"/>
      <c r="G124" s="114"/>
      <c r="H124" s="112"/>
      <c r="I124" s="112"/>
      <c r="J124" s="112"/>
    </row>
    <row r="125" spans="1:10" ht="15">
      <c r="A125" s="230"/>
      <c r="B125" s="231"/>
      <c r="C125" s="231"/>
      <c r="E125" s="231"/>
      <c r="F125" s="233"/>
      <c r="G125" s="114"/>
      <c r="H125" s="112"/>
      <c r="I125" s="112"/>
      <c r="J125" s="112"/>
    </row>
    <row r="126" spans="1:10" ht="15">
      <c r="A126" s="230"/>
      <c r="B126" s="231"/>
      <c r="C126" s="231"/>
      <c r="E126" s="231"/>
      <c r="F126" s="233"/>
      <c r="G126" s="114"/>
      <c r="H126" s="112"/>
      <c r="I126" s="112"/>
      <c r="J126" s="112"/>
    </row>
    <row r="127" spans="1:10" ht="15">
      <c r="A127" s="230"/>
      <c r="B127" s="231"/>
      <c r="C127" s="231"/>
      <c r="E127" s="231"/>
      <c r="F127" s="233"/>
      <c r="G127" s="114"/>
      <c r="H127" s="112"/>
      <c r="I127" s="112"/>
      <c r="J127" s="112"/>
    </row>
    <row r="128" spans="1:10" ht="15">
      <c r="A128" s="230"/>
      <c r="B128" s="231"/>
      <c r="C128" s="231"/>
      <c r="E128" s="231"/>
      <c r="F128" s="233"/>
      <c r="G128" s="114"/>
      <c r="H128" s="112"/>
      <c r="I128" s="112"/>
      <c r="J128" s="112"/>
    </row>
    <row r="129" spans="1:10" ht="15">
      <c r="A129" s="230"/>
      <c r="B129" s="231"/>
      <c r="C129" s="231"/>
      <c r="E129" s="231"/>
      <c r="F129" s="233"/>
      <c r="G129" s="114"/>
      <c r="H129" s="112"/>
      <c r="I129" s="112"/>
      <c r="J129" s="112"/>
    </row>
    <row r="130" spans="1:10" ht="15">
      <c r="A130" s="230"/>
      <c r="B130" s="231"/>
      <c r="C130" s="231"/>
      <c r="E130" s="231"/>
      <c r="F130" s="233"/>
      <c r="G130" s="114"/>
      <c r="H130" s="112"/>
      <c r="I130" s="112"/>
      <c r="J130" s="112"/>
    </row>
    <row r="131" spans="1:10" ht="15">
      <c r="A131" s="230"/>
      <c r="B131" s="231"/>
      <c r="C131" s="231"/>
      <c r="E131" s="231"/>
      <c r="F131" s="233"/>
      <c r="G131" s="114"/>
      <c r="H131" s="112"/>
      <c r="I131" s="112"/>
      <c r="J131" s="112"/>
    </row>
    <row r="132" spans="1:10" ht="15">
      <c r="A132" s="230"/>
      <c r="B132" s="231"/>
      <c r="C132" s="231"/>
      <c r="E132" s="231"/>
      <c r="F132" s="233"/>
      <c r="G132" s="114"/>
      <c r="H132" s="112"/>
      <c r="I132" s="112"/>
      <c r="J132" s="112"/>
    </row>
    <row r="133" spans="1:10" ht="15">
      <c r="A133" s="230"/>
      <c r="B133" s="231"/>
      <c r="C133" s="231"/>
      <c r="E133" s="231"/>
      <c r="F133" s="233"/>
      <c r="G133" s="114"/>
      <c r="H133" s="112"/>
      <c r="I133" s="112"/>
      <c r="J133" s="112"/>
    </row>
    <row r="134" spans="1:10" ht="15">
      <c r="A134" s="230"/>
      <c r="B134" s="231"/>
      <c r="C134" s="231"/>
      <c r="E134" s="231"/>
      <c r="F134" s="233"/>
      <c r="G134" s="114"/>
      <c r="H134" s="112"/>
      <c r="I134" s="112"/>
      <c r="J134" s="112"/>
    </row>
    <row r="135" spans="1:10" ht="15">
      <c r="A135" s="230"/>
      <c r="B135" s="231"/>
      <c r="C135" s="231"/>
      <c r="E135" s="231"/>
      <c r="F135" s="233"/>
      <c r="G135" s="114"/>
      <c r="H135" s="112"/>
      <c r="I135" s="112"/>
      <c r="J135" s="112"/>
    </row>
    <row r="136" spans="1:10" ht="15">
      <c r="A136" s="230"/>
      <c r="B136" s="231"/>
      <c r="C136" s="231"/>
      <c r="E136" s="231"/>
      <c r="F136" s="233"/>
      <c r="G136" s="114"/>
      <c r="H136" s="112"/>
      <c r="I136" s="112"/>
      <c r="J136" s="112"/>
    </row>
    <row r="137" spans="1:10" ht="15">
      <c r="A137" s="230"/>
      <c r="B137" s="231"/>
      <c r="C137" s="231"/>
      <c r="E137" s="231"/>
      <c r="F137" s="233"/>
      <c r="G137" s="114"/>
      <c r="H137" s="112"/>
      <c r="I137" s="112"/>
      <c r="J137" s="112"/>
    </row>
    <row r="138" spans="1:10" ht="15">
      <c r="A138" s="230"/>
      <c r="B138" s="231"/>
      <c r="C138" s="231"/>
      <c r="E138" s="231"/>
      <c r="F138" s="233"/>
      <c r="G138" s="114"/>
      <c r="H138" s="112"/>
      <c r="I138" s="112"/>
      <c r="J138" s="112"/>
    </row>
    <row r="139" spans="1:10" ht="15">
      <c r="A139" s="230"/>
      <c r="B139" s="231"/>
      <c r="C139" s="231"/>
      <c r="E139" s="231"/>
      <c r="F139" s="233"/>
      <c r="G139" s="114"/>
      <c r="H139" s="112"/>
      <c r="I139" s="112"/>
      <c r="J139" s="112"/>
    </row>
    <row r="140" spans="1:10" ht="15">
      <c r="A140" s="230"/>
      <c r="B140" s="231"/>
      <c r="C140" s="231"/>
      <c r="E140" s="231"/>
      <c r="F140" s="233"/>
      <c r="G140" s="114"/>
      <c r="H140" s="112"/>
      <c r="I140" s="112"/>
      <c r="J140" s="112"/>
    </row>
    <row r="141" spans="1:10" ht="15">
      <c r="A141" s="230"/>
      <c r="B141" s="231"/>
      <c r="C141" s="231"/>
      <c r="E141" s="231"/>
      <c r="F141" s="233"/>
      <c r="G141" s="114"/>
      <c r="H141" s="112"/>
      <c r="I141" s="112"/>
      <c r="J141" s="112"/>
    </row>
    <row r="142" spans="1:10" ht="15">
      <c r="A142" s="230"/>
      <c r="B142" s="231"/>
      <c r="C142" s="231"/>
      <c r="E142" s="231"/>
      <c r="F142" s="233"/>
      <c r="G142" s="114"/>
      <c r="H142" s="112"/>
      <c r="I142" s="112"/>
      <c r="J142" s="112"/>
    </row>
    <row r="143" spans="1:10" ht="15">
      <c r="A143" s="230"/>
      <c r="B143" s="231"/>
      <c r="C143" s="231"/>
      <c r="E143" s="231"/>
      <c r="F143" s="233"/>
      <c r="G143" s="114"/>
      <c r="H143" s="112"/>
      <c r="I143" s="112"/>
      <c r="J143" s="112"/>
    </row>
    <row r="144" spans="1:10" ht="15">
      <c r="A144" s="230"/>
      <c r="B144" s="231"/>
      <c r="C144" s="231"/>
      <c r="E144" s="231"/>
      <c r="F144" s="233"/>
      <c r="G144" s="114"/>
      <c r="H144" s="112"/>
      <c r="I144" s="112"/>
      <c r="J144" s="112"/>
    </row>
    <row r="145" spans="1:10" ht="15">
      <c r="A145" s="230"/>
      <c r="B145" s="231"/>
      <c r="C145" s="231"/>
      <c r="E145" s="231"/>
      <c r="F145" s="233"/>
      <c r="G145" s="114"/>
      <c r="H145" s="112"/>
      <c r="I145" s="112"/>
      <c r="J145" s="112"/>
    </row>
    <row r="146" spans="1:10" ht="15">
      <c r="A146" s="230"/>
      <c r="B146" s="231"/>
      <c r="C146" s="231"/>
      <c r="E146" s="231"/>
      <c r="F146" s="233"/>
      <c r="G146" s="114"/>
      <c r="H146" s="112"/>
      <c r="I146" s="112"/>
      <c r="J146" s="112"/>
    </row>
    <row r="147" spans="1:10" ht="15">
      <c r="A147" s="230"/>
      <c r="B147" s="231"/>
      <c r="C147" s="231"/>
      <c r="E147" s="231"/>
      <c r="F147" s="233"/>
      <c r="G147" s="114"/>
      <c r="H147" s="112"/>
      <c r="I147" s="112"/>
      <c r="J147" s="112"/>
    </row>
    <row r="148" spans="1:10" ht="15">
      <c r="A148" s="230"/>
      <c r="B148" s="231"/>
      <c r="C148" s="231"/>
      <c r="E148" s="231"/>
      <c r="F148" s="233"/>
      <c r="G148" s="114"/>
      <c r="H148" s="112"/>
      <c r="I148" s="112"/>
      <c r="J148" s="112"/>
    </row>
    <row r="149" spans="1:10" ht="15">
      <c r="A149" s="230"/>
      <c r="B149" s="231"/>
      <c r="C149" s="231"/>
      <c r="E149" s="231"/>
      <c r="F149" s="233"/>
      <c r="G149" s="114"/>
      <c r="H149" s="112"/>
      <c r="I149" s="112"/>
      <c r="J149" s="112"/>
    </row>
    <row r="150" spans="1:10" ht="15">
      <c r="A150" s="230"/>
      <c r="B150" s="231"/>
      <c r="C150" s="231"/>
      <c r="E150" s="231"/>
      <c r="F150" s="233"/>
      <c r="G150" s="114"/>
      <c r="H150" s="112"/>
      <c r="I150" s="112"/>
      <c r="J150" s="112"/>
    </row>
    <row r="151" spans="1:10" ht="15">
      <c r="A151" s="230"/>
      <c r="B151" s="231"/>
      <c r="C151" s="231"/>
      <c r="E151" s="231"/>
      <c r="F151" s="233"/>
      <c r="G151" s="114"/>
      <c r="H151" s="112"/>
      <c r="I151" s="112"/>
      <c r="J151" s="112"/>
    </row>
    <row r="152" spans="1:10" ht="15">
      <c r="A152" s="230"/>
      <c r="B152" s="231"/>
      <c r="C152" s="231"/>
      <c r="E152" s="231"/>
      <c r="F152" s="233"/>
      <c r="G152" s="114"/>
      <c r="H152" s="112"/>
      <c r="I152" s="112"/>
      <c r="J152" s="112"/>
    </row>
    <row r="153" spans="1:10" ht="15">
      <c r="A153" s="230"/>
      <c r="B153" s="231"/>
      <c r="C153" s="231"/>
      <c r="E153" s="231"/>
      <c r="F153" s="233"/>
      <c r="G153" s="114"/>
      <c r="H153" s="112"/>
      <c r="I153" s="112"/>
      <c r="J153" s="112"/>
    </row>
    <row r="154" spans="1:10" ht="15">
      <c r="A154" s="230"/>
      <c r="B154" s="231"/>
      <c r="C154" s="231"/>
      <c r="E154" s="231"/>
      <c r="F154" s="233"/>
      <c r="G154" s="114"/>
      <c r="H154" s="112"/>
      <c r="I154" s="112"/>
      <c r="J154" s="112"/>
    </row>
    <row r="155" spans="1:10" ht="15">
      <c r="A155" s="230"/>
      <c r="B155" s="231"/>
      <c r="C155" s="231"/>
      <c r="E155" s="231"/>
      <c r="F155" s="233"/>
      <c r="G155" s="114"/>
      <c r="H155" s="112"/>
      <c r="I155" s="112"/>
      <c r="J155" s="112"/>
    </row>
    <row r="156" spans="1:10" ht="15">
      <c r="A156" s="230"/>
      <c r="B156" s="231"/>
      <c r="C156" s="231"/>
      <c r="E156" s="231"/>
      <c r="F156" s="233"/>
      <c r="G156" s="114"/>
      <c r="H156" s="112"/>
      <c r="I156" s="112"/>
      <c r="J156" s="112"/>
    </row>
    <row r="157" spans="1:10" ht="15">
      <c r="A157" s="230"/>
      <c r="B157" s="231"/>
      <c r="C157" s="231"/>
      <c r="E157" s="231"/>
      <c r="F157" s="233"/>
      <c r="G157" s="114"/>
      <c r="H157" s="112"/>
      <c r="I157" s="112"/>
      <c r="J157" s="112"/>
    </row>
    <row r="158" spans="1:10" ht="15">
      <c r="A158" s="230"/>
      <c r="B158" s="231"/>
      <c r="C158" s="231"/>
      <c r="E158" s="231"/>
      <c r="F158" s="233"/>
      <c r="G158" s="114"/>
      <c r="H158" s="112"/>
      <c r="I158" s="112"/>
      <c r="J158" s="112"/>
    </row>
    <row r="159" spans="1:10" ht="15">
      <c r="A159" s="230"/>
      <c r="B159" s="231"/>
      <c r="C159" s="231"/>
      <c r="E159" s="231"/>
      <c r="F159" s="233"/>
      <c r="G159" s="114"/>
      <c r="H159" s="112"/>
      <c r="I159" s="112"/>
      <c r="J159" s="112"/>
    </row>
    <row r="160" spans="1:10" ht="15">
      <c r="A160" s="230"/>
      <c r="B160" s="231"/>
      <c r="C160" s="231"/>
      <c r="E160" s="231"/>
      <c r="F160" s="233"/>
      <c r="G160" s="114"/>
      <c r="H160" s="112"/>
      <c r="I160" s="112"/>
      <c r="J160" s="112"/>
    </row>
    <row r="161" spans="1:10" ht="15">
      <c r="A161" s="230"/>
      <c r="B161" s="231"/>
      <c r="C161" s="231"/>
      <c r="E161" s="231"/>
      <c r="F161" s="233"/>
      <c r="G161" s="114"/>
      <c r="H161" s="112"/>
      <c r="I161" s="112"/>
      <c r="J161" s="112"/>
    </row>
    <row r="162" spans="1:10" ht="15">
      <c r="A162" s="230"/>
      <c r="B162" s="231"/>
      <c r="C162" s="231"/>
      <c r="E162" s="231"/>
      <c r="F162" s="233"/>
      <c r="G162" s="114"/>
      <c r="H162" s="112"/>
      <c r="I162" s="112"/>
      <c r="J162" s="112"/>
    </row>
    <row r="163" spans="1:10" ht="15">
      <c r="A163" s="230"/>
      <c r="B163" s="231"/>
      <c r="C163" s="231"/>
      <c r="E163" s="231"/>
      <c r="F163" s="233"/>
      <c r="G163" s="114"/>
      <c r="H163" s="112"/>
      <c r="I163" s="112"/>
      <c r="J163" s="112"/>
    </row>
    <row r="164" spans="1:10" ht="15">
      <c r="A164" s="230"/>
      <c r="B164" s="231"/>
      <c r="C164" s="231"/>
      <c r="E164" s="231"/>
      <c r="F164" s="233"/>
      <c r="G164" s="114"/>
      <c r="H164" s="112"/>
      <c r="I164" s="112"/>
      <c r="J164" s="112"/>
    </row>
    <row r="165" spans="1:10" ht="15">
      <c r="A165" s="230"/>
      <c r="B165" s="231"/>
      <c r="C165" s="231"/>
      <c r="E165" s="231"/>
      <c r="F165" s="233"/>
      <c r="G165" s="114"/>
      <c r="H165" s="112"/>
      <c r="I165" s="112"/>
      <c r="J165" s="112"/>
    </row>
    <row r="166" spans="1:10" ht="15">
      <c r="A166" s="230"/>
      <c r="B166" s="231"/>
      <c r="C166" s="231"/>
      <c r="E166" s="231"/>
      <c r="F166" s="233"/>
      <c r="G166" s="114"/>
      <c r="H166" s="112"/>
      <c r="I166" s="112"/>
      <c r="J166" s="112"/>
    </row>
    <row r="167" spans="1:10" ht="15">
      <c r="A167" s="230"/>
      <c r="B167" s="231"/>
      <c r="C167" s="231"/>
      <c r="E167" s="231"/>
      <c r="F167" s="233"/>
      <c r="G167" s="114"/>
      <c r="H167" s="112"/>
      <c r="I167" s="112"/>
      <c r="J167" s="112"/>
    </row>
    <row r="168" spans="1:10" ht="15">
      <c r="A168" s="230"/>
      <c r="B168" s="231"/>
      <c r="C168" s="231"/>
      <c r="E168" s="231"/>
      <c r="F168" s="233"/>
      <c r="G168" s="114"/>
      <c r="H168" s="112"/>
      <c r="I168" s="112"/>
      <c r="J168" s="112"/>
    </row>
    <row r="169" spans="1:10" ht="15">
      <c r="A169" s="230"/>
      <c r="B169" s="231"/>
      <c r="C169" s="231"/>
      <c r="E169" s="231"/>
      <c r="F169" s="233"/>
      <c r="G169" s="114"/>
      <c r="H169" s="112"/>
      <c r="I169" s="112"/>
      <c r="J169" s="112"/>
    </row>
    <row r="170" spans="1:10" ht="15">
      <c r="A170" s="230"/>
      <c r="B170" s="231"/>
      <c r="C170" s="231"/>
      <c r="E170" s="231"/>
      <c r="F170" s="233"/>
      <c r="G170" s="114"/>
      <c r="H170" s="112"/>
      <c r="I170" s="112"/>
      <c r="J170" s="112"/>
    </row>
    <row r="171" spans="1:10" ht="15">
      <c r="A171" s="230"/>
      <c r="B171" s="231"/>
      <c r="C171" s="231"/>
      <c r="E171" s="231"/>
      <c r="F171" s="233"/>
      <c r="G171" s="114"/>
      <c r="H171" s="112"/>
      <c r="I171" s="112"/>
      <c r="J171" s="112"/>
    </row>
    <row r="172" spans="1:10" ht="15">
      <c r="A172" s="230"/>
      <c r="B172" s="231"/>
      <c r="C172" s="231"/>
      <c r="E172" s="231"/>
      <c r="F172" s="233"/>
      <c r="G172" s="114"/>
      <c r="H172" s="112"/>
      <c r="I172" s="112"/>
      <c r="J172" s="112"/>
    </row>
    <row r="173" spans="1:10" ht="15">
      <c r="A173" s="230"/>
      <c r="B173" s="231"/>
      <c r="C173" s="231"/>
      <c r="E173" s="231"/>
      <c r="F173" s="233"/>
      <c r="G173" s="114"/>
      <c r="H173" s="112"/>
      <c r="I173" s="112"/>
      <c r="J173" s="112"/>
    </row>
    <row r="174" spans="1:10" ht="15">
      <c r="A174" s="230"/>
      <c r="B174" s="231"/>
      <c r="C174" s="231"/>
      <c r="E174" s="231"/>
      <c r="F174" s="233"/>
      <c r="G174" s="114"/>
      <c r="H174" s="112"/>
      <c r="I174" s="112"/>
      <c r="J174" s="112"/>
    </row>
    <row r="175" spans="1:10" ht="15">
      <c r="A175" s="230"/>
      <c r="B175" s="231"/>
      <c r="C175" s="231"/>
      <c r="E175" s="231"/>
      <c r="F175" s="233"/>
      <c r="G175" s="114"/>
      <c r="H175" s="112"/>
      <c r="I175" s="112"/>
      <c r="J175" s="112"/>
    </row>
    <row r="176" spans="1:10" ht="15">
      <c r="A176" s="230"/>
      <c r="B176" s="231"/>
      <c r="C176" s="231"/>
      <c r="E176" s="231"/>
      <c r="F176" s="233"/>
      <c r="G176" s="114"/>
      <c r="H176" s="112"/>
      <c r="I176" s="112"/>
      <c r="J176" s="112"/>
    </row>
    <row r="177" spans="1:10" ht="15">
      <c r="A177" s="230"/>
      <c r="B177" s="231"/>
      <c r="C177" s="231"/>
      <c r="E177" s="231"/>
      <c r="F177" s="233"/>
      <c r="G177" s="114"/>
      <c r="H177" s="112"/>
      <c r="I177" s="112"/>
      <c r="J177" s="112"/>
    </row>
    <row r="178" spans="1:10" ht="15">
      <c r="A178" s="230"/>
      <c r="B178" s="231"/>
      <c r="C178" s="231"/>
      <c r="E178" s="231"/>
      <c r="F178" s="233"/>
      <c r="G178" s="114"/>
      <c r="H178" s="112"/>
      <c r="I178" s="112"/>
      <c r="J178" s="112"/>
    </row>
    <row r="179" spans="1:10" ht="15">
      <c r="A179" s="230"/>
      <c r="B179" s="231"/>
      <c r="C179" s="231"/>
      <c r="E179" s="231"/>
      <c r="F179" s="233"/>
      <c r="G179" s="114"/>
      <c r="H179" s="112"/>
      <c r="I179" s="112"/>
      <c r="J179" s="112"/>
    </row>
    <row r="180" spans="1:10" ht="15">
      <c r="A180" s="230"/>
      <c r="B180" s="231"/>
      <c r="C180" s="231"/>
      <c r="E180" s="231"/>
      <c r="F180" s="233"/>
      <c r="G180" s="114"/>
      <c r="H180" s="112"/>
      <c r="I180" s="112"/>
      <c r="J180" s="112"/>
    </row>
    <row r="181" spans="1:10" ht="15">
      <c r="A181" s="230"/>
      <c r="B181" s="231"/>
      <c r="C181" s="231"/>
      <c r="E181" s="231"/>
      <c r="F181" s="233"/>
      <c r="G181" s="114"/>
      <c r="H181" s="112"/>
      <c r="I181" s="112"/>
      <c r="J181" s="112"/>
    </row>
    <row r="182" spans="1:10" ht="15">
      <c r="A182" s="230"/>
      <c r="B182" s="231"/>
      <c r="C182" s="231"/>
      <c r="E182" s="231"/>
      <c r="F182" s="233"/>
      <c r="G182" s="114"/>
      <c r="H182" s="112"/>
      <c r="I182" s="112"/>
      <c r="J182" s="112"/>
    </row>
    <row r="183" spans="1:10" ht="15">
      <c r="A183" s="230"/>
      <c r="B183" s="231"/>
      <c r="C183" s="231"/>
      <c r="E183" s="231"/>
      <c r="F183" s="233"/>
      <c r="G183" s="114"/>
      <c r="H183" s="112"/>
      <c r="I183" s="112"/>
      <c r="J183" s="112"/>
    </row>
    <row r="184" spans="1:10" ht="15">
      <c r="A184" s="230"/>
      <c r="B184" s="231"/>
      <c r="C184" s="231"/>
      <c r="E184" s="231"/>
      <c r="F184" s="233"/>
      <c r="G184" s="114"/>
      <c r="H184" s="112"/>
      <c r="I184" s="112"/>
      <c r="J184" s="112"/>
    </row>
    <row r="185" spans="1:10" ht="15">
      <c r="A185" s="230"/>
      <c r="B185" s="231"/>
      <c r="C185" s="231"/>
      <c r="E185" s="231"/>
      <c r="F185" s="233"/>
      <c r="G185" s="114"/>
      <c r="H185" s="112"/>
      <c r="I185" s="112"/>
      <c r="J185" s="112"/>
    </row>
    <row r="186" spans="1:10" ht="15">
      <c r="A186" s="230"/>
      <c r="B186" s="231"/>
      <c r="C186" s="231"/>
      <c r="E186" s="231"/>
      <c r="F186" s="233"/>
      <c r="G186" s="114"/>
      <c r="H186" s="112"/>
      <c r="I186" s="112"/>
      <c r="J186" s="112"/>
    </row>
    <row r="187" spans="1:10" ht="15">
      <c r="A187" s="230"/>
      <c r="B187" s="231"/>
      <c r="C187" s="231"/>
      <c r="E187" s="231"/>
      <c r="F187" s="233"/>
      <c r="G187" s="114"/>
      <c r="H187" s="112"/>
      <c r="I187" s="112"/>
      <c r="J187" s="112"/>
    </row>
    <row r="188" spans="1:10" ht="15">
      <c r="A188" s="230"/>
      <c r="B188" s="231"/>
      <c r="C188" s="231"/>
      <c r="E188" s="231"/>
      <c r="F188" s="233"/>
      <c r="G188" s="114"/>
      <c r="H188" s="112"/>
      <c r="I188" s="112"/>
      <c r="J188" s="112"/>
    </row>
    <row r="189" spans="1:10" ht="15">
      <c r="A189" s="230"/>
      <c r="B189" s="231"/>
      <c r="C189" s="231"/>
      <c r="E189" s="231"/>
      <c r="F189" s="233"/>
      <c r="G189" s="114"/>
      <c r="H189" s="112"/>
      <c r="I189" s="112"/>
      <c r="J189" s="112"/>
    </row>
    <row r="190" spans="1:10" ht="15">
      <c r="A190" s="230"/>
      <c r="B190" s="231"/>
      <c r="C190" s="231"/>
      <c r="E190" s="231"/>
      <c r="F190" s="233"/>
      <c r="G190" s="114"/>
      <c r="H190" s="112"/>
      <c r="I190" s="112"/>
      <c r="J190" s="112"/>
    </row>
    <row r="191" spans="1:10" ht="15">
      <c r="A191" s="230"/>
      <c r="B191" s="231"/>
      <c r="C191" s="231"/>
      <c r="E191" s="231"/>
      <c r="F191" s="233"/>
      <c r="G191" s="114"/>
      <c r="H191" s="112"/>
      <c r="I191" s="112"/>
      <c r="J191" s="112"/>
    </row>
    <row r="192" spans="1:10" ht="15">
      <c r="A192" s="230"/>
      <c r="B192" s="231"/>
      <c r="C192" s="231"/>
      <c r="E192" s="231"/>
      <c r="F192" s="233"/>
      <c r="G192" s="114"/>
      <c r="H192" s="112"/>
      <c r="I192" s="112"/>
      <c r="J192" s="112"/>
    </row>
    <row r="193" spans="1:10" ht="15">
      <c r="A193" s="230"/>
      <c r="B193" s="231"/>
      <c r="C193" s="231"/>
      <c r="E193" s="231"/>
      <c r="F193" s="233"/>
      <c r="G193" s="114"/>
      <c r="H193" s="112"/>
      <c r="I193" s="112"/>
      <c r="J193" s="112"/>
    </row>
    <row r="194" spans="1:10" ht="15">
      <c r="A194" s="230"/>
      <c r="B194" s="231"/>
      <c r="C194" s="231"/>
      <c r="E194" s="231"/>
      <c r="F194" s="233"/>
      <c r="G194" s="114"/>
      <c r="H194" s="112"/>
      <c r="I194" s="112"/>
      <c r="J194" s="112"/>
    </row>
    <row r="195" spans="1:10" ht="15">
      <c r="A195" s="230"/>
      <c r="B195" s="231"/>
      <c r="C195" s="231"/>
      <c r="E195" s="231"/>
      <c r="F195" s="233"/>
      <c r="G195" s="114"/>
      <c r="H195" s="112"/>
      <c r="I195" s="112"/>
      <c r="J195" s="112"/>
    </row>
    <row r="196" spans="1:10" ht="15">
      <c r="A196" s="230"/>
      <c r="B196" s="231"/>
      <c r="C196" s="231"/>
      <c r="E196" s="231"/>
      <c r="F196" s="233"/>
      <c r="G196" s="114"/>
      <c r="H196" s="112"/>
      <c r="I196" s="112"/>
      <c r="J196" s="112"/>
    </row>
    <row r="197" spans="1:10" ht="15">
      <c r="A197" s="230"/>
      <c r="B197" s="231"/>
      <c r="C197" s="231"/>
      <c r="E197" s="231"/>
      <c r="F197" s="233"/>
      <c r="G197" s="114"/>
      <c r="H197" s="112"/>
      <c r="I197" s="112"/>
      <c r="J197" s="112"/>
    </row>
    <row r="198" spans="1:10" ht="15">
      <c r="A198" s="230"/>
      <c r="B198" s="231"/>
      <c r="C198" s="231"/>
      <c r="E198" s="231"/>
      <c r="F198" s="233"/>
      <c r="G198" s="114"/>
      <c r="H198" s="112"/>
      <c r="I198" s="112"/>
      <c r="J198" s="112"/>
    </row>
    <row r="199" spans="1:10" ht="15">
      <c r="A199" s="230"/>
      <c r="B199" s="231"/>
      <c r="C199" s="231"/>
      <c r="E199" s="231"/>
      <c r="F199" s="233"/>
      <c r="G199" s="114"/>
      <c r="H199" s="112"/>
      <c r="I199" s="112"/>
      <c r="J199" s="112"/>
    </row>
    <row r="200" spans="1:10" ht="15">
      <c r="A200" s="230"/>
      <c r="B200" s="231"/>
      <c r="C200" s="231"/>
      <c r="E200" s="231"/>
      <c r="F200" s="233"/>
      <c r="G200" s="114"/>
      <c r="H200" s="112"/>
      <c r="I200" s="112"/>
      <c r="J200" s="112"/>
    </row>
    <row r="201" spans="1:10" ht="15">
      <c r="A201" s="230"/>
      <c r="B201" s="231"/>
      <c r="C201" s="231"/>
      <c r="E201" s="231"/>
      <c r="F201" s="233"/>
      <c r="G201" s="114"/>
      <c r="H201" s="112"/>
      <c r="I201" s="112"/>
      <c r="J201" s="112"/>
    </row>
    <row r="202" spans="1:10" ht="15">
      <c r="A202" s="230"/>
      <c r="B202" s="231"/>
      <c r="C202" s="231"/>
      <c r="E202" s="231"/>
      <c r="F202" s="233"/>
      <c r="G202" s="114"/>
      <c r="H202" s="112"/>
      <c r="I202" s="112"/>
      <c r="J202" s="112"/>
    </row>
    <row r="203" spans="1:10" ht="15">
      <c r="A203" s="230"/>
      <c r="B203" s="231"/>
      <c r="C203" s="231"/>
      <c r="E203" s="231"/>
      <c r="F203" s="233"/>
      <c r="G203" s="114"/>
      <c r="H203" s="112"/>
      <c r="I203" s="112"/>
      <c r="J203" s="112"/>
    </row>
    <row r="204" spans="1:10" ht="15">
      <c r="A204" s="230"/>
      <c r="B204" s="231"/>
      <c r="C204" s="231"/>
      <c r="E204" s="231"/>
      <c r="F204" s="233"/>
      <c r="G204" s="114"/>
      <c r="H204" s="112"/>
      <c r="I204" s="112"/>
      <c r="J204" s="112"/>
    </row>
    <row r="205" spans="1:10" ht="15">
      <c r="A205" s="230"/>
      <c r="B205" s="231"/>
      <c r="C205" s="231"/>
      <c r="E205" s="231"/>
      <c r="F205" s="233"/>
      <c r="G205" s="114"/>
      <c r="H205" s="112"/>
      <c r="I205" s="112"/>
      <c r="J205" s="112"/>
    </row>
    <row r="206" spans="1:10" ht="15">
      <c r="A206" s="230"/>
      <c r="B206" s="231"/>
      <c r="C206" s="231"/>
      <c r="E206" s="231"/>
      <c r="F206" s="233"/>
      <c r="G206" s="114"/>
      <c r="H206" s="112"/>
      <c r="I206" s="112"/>
      <c r="J206" s="112"/>
    </row>
    <row r="207" spans="1:10" ht="15">
      <c r="A207" s="230"/>
      <c r="B207" s="231"/>
      <c r="C207" s="231"/>
      <c r="E207" s="231"/>
      <c r="F207" s="233"/>
      <c r="G207" s="114"/>
      <c r="H207" s="112"/>
      <c r="I207" s="112"/>
      <c r="J207" s="112"/>
    </row>
    <row r="208" spans="1:10" ht="15">
      <c r="A208" s="230"/>
      <c r="B208" s="231"/>
      <c r="C208" s="231"/>
      <c r="E208" s="231"/>
      <c r="F208" s="233"/>
      <c r="G208" s="114"/>
      <c r="H208" s="112"/>
      <c r="I208" s="112"/>
      <c r="J208" s="112"/>
    </row>
    <row r="209" spans="1:10" ht="15">
      <c r="A209" s="230"/>
      <c r="B209" s="231"/>
      <c r="C209" s="231"/>
      <c r="E209" s="231"/>
      <c r="F209" s="233"/>
      <c r="G209" s="114"/>
      <c r="H209" s="112"/>
      <c r="I209" s="112"/>
      <c r="J209" s="112"/>
    </row>
    <row r="210" spans="1:10" ht="15">
      <c r="A210" s="230"/>
      <c r="B210" s="231"/>
      <c r="C210" s="231"/>
      <c r="E210" s="231"/>
      <c r="F210" s="233"/>
      <c r="G210" s="114"/>
      <c r="H210" s="112"/>
      <c r="I210" s="112"/>
      <c r="J210" s="112"/>
    </row>
    <row r="211" spans="1:10" ht="15">
      <c r="A211" s="230"/>
      <c r="B211" s="231"/>
      <c r="C211" s="231"/>
      <c r="E211" s="231"/>
      <c r="F211" s="233"/>
      <c r="G211" s="114"/>
      <c r="H211" s="112"/>
      <c r="I211" s="112"/>
      <c r="J211" s="112"/>
    </row>
    <row r="212" spans="1:10" ht="15">
      <c r="A212" s="230"/>
      <c r="B212" s="231"/>
      <c r="C212" s="231"/>
      <c r="E212" s="231"/>
      <c r="F212" s="233"/>
      <c r="G212" s="114"/>
      <c r="H212" s="112"/>
      <c r="I212" s="112"/>
      <c r="J212" s="112"/>
    </row>
    <row r="213" spans="1:10" ht="15">
      <c r="A213" s="230"/>
      <c r="B213" s="231"/>
      <c r="C213" s="231"/>
      <c r="E213" s="231"/>
      <c r="F213" s="233"/>
      <c r="G213" s="114"/>
      <c r="H213" s="112"/>
      <c r="I213" s="112"/>
      <c r="J213" s="112"/>
    </row>
    <row r="214" spans="1:10" ht="15">
      <c r="A214" s="230"/>
      <c r="B214" s="231"/>
      <c r="C214" s="231"/>
      <c r="E214" s="231"/>
      <c r="F214" s="233"/>
      <c r="G214" s="114"/>
      <c r="H214" s="112"/>
      <c r="I214" s="112"/>
      <c r="J214" s="112"/>
    </row>
    <row r="215" spans="1:10" ht="15">
      <c r="A215" s="230"/>
      <c r="B215" s="231"/>
      <c r="C215" s="231"/>
      <c r="E215" s="231"/>
      <c r="F215" s="233"/>
      <c r="G215" s="114"/>
      <c r="H215" s="112"/>
      <c r="I215" s="112"/>
      <c r="J215" s="112"/>
    </row>
  </sheetData>
  <sheetProtection sheet="1" objects="1" scenarios="1" formatCells="0" formatColumns="0" formatRows="0"/>
  <mergeCells count="153">
    <mergeCell ref="G97:J97"/>
    <mergeCell ref="G93:J93"/>
    <mergeCell ref="A93:F93"/>
    <mergeCell ref="A77:C77"/>
    <mergeCell ref="A78:C78"/>
    <mergeCell ref="A79:C79"/>
    <mergeCell ref="A82:C82"/>
    <mergeCell ref="A89:C89"/>
    <mergeCell ref="A90:C90"/>
    <mergeCell ref="A95:D95"/>
    <mergeCell ref="A96:D96"/>
    <mergeCell ref="E95:F95"/>
    <mergeCell ref="E96:F96"/>
    <mergeCell ref="E97:F97"/>
    <mergeCell ref="A97:D97"/>
    <mergeCell ref="F68:J74"/>
    <mergeCell ref="I16:J16"/>
    <mergeCell ref="I17:J17"/>
    <mergeCell ref="I18:J18"/>
    <mergeCell ref="I19:J19"/>
    <mergeCell ref="I20:J20"/>
    <mergeCell ref="I21:J21"/>
    <mergeCell ref="I41:J41"/>
    <mergeCell ref="I42:J42"/>
    <mergeCell ref="I31:J31"/>
    <mergeCell ref="I23:J23"/>
    <mergeCell ref="I24:J24"/>
    <mergeCell ref="I25:J25"/>
    <mergeCell ref="I2:J2"/>
    <mergeCell ref="I4:J4"/>
    <mergeCell ref="I5:J5"/>
    <mergeCell ref="I6:J6"/>
    <mergeCell ref="I7:J7"/>
    <mergeCell ref="I8:J8"/>
    <mergeCell ref="I11:J11"/>
    <mergeCell ref="A25:C25"/>
    <mergeCell ref="A26:C26"/>
    <mergeCell ref="D34:O34"/>
    <mergeCell ref="I28:J28"/>
    <mergeCell ref="I29:J29"/>
    <mergeCell ref="I30:J30"/>
    <mergeCell ref="A66:C66"/>
    <mergeCell ref="A13:C13"/>
    <mergeCell ref="A1:K1"/>
    <mergeCell ref="A3:C3"/>
    <mergeCell ref="A14:C14"/>
    <mergeCell ref="A27:C27"/>
    <mergeCell ref="I12:J12"/>
    <mergeCell ref="I13:J13"/>
    <mergeCell ref="A21:C21"/>
    <mergeCell ref="A22:C22"/>
    <mergeCell ref="A75:C75"/>
    <mergeCell ref="A64:C64"/>
    <mergeCell ref="A58:C58"/>
    <mergeCell ref="A33:C33"/>
    <mergeCell ref="A46:C46"/>
    <mergeCell ref="A45:C45"/>
    <mergeCell ref="A60:C60"/>
    <mergeCell ref="A56:C56"/>
    <mergeCell ref="A57:C57"/>
    <mergeCell ref="A53:C53"/>
    <mergeCell ref="A4:C4"/>
    <mergeCell ref="A5:C5"/>
    <mergeCell ref="A6:C6"/>
    <mergeCell ref="A7:C7"/>
    <mergeCell ref="A8:C8"/>
    <mergeCell ref="A11:C11"/>
    <mergeCell ref="A12:C12"/>
    <mergeCell ref="I22:J22"/>
    <mergeCell ref="A9:C9"/>
    <mergeCell ref="I15:J15"/>
    <mergeCell ref="I35:J35"/>
    <mergeCell ref="I36:J36"/>
    <mergeCell ref="I37:J37"/>
    <mergeCell ref="I38:J38"/>
    <mergeCell ref="I39:J39"/>
    <mergeCell ref="I40:J40"/>
    <mergeCell ref="I56:J56"/>
    <mergeCell ref="I53:J53"/>
    <mergeCell ref="I54:J54"/>
    <mergeCell ref="I55:J55"/>
    <mergeCell ref="I48:J48"/>
    <mergeCell ref="I49:J49"/>
    <mergeCell ref="I50:J50"/>
    <mergeCell ref="I47:J47"/>
    <mergeCell ref="I57:J57"/>
    <mergeCell ref="I59:J59"/>
    <mergeCell ref="I60:J60"/>
    <mergeCell ref="I61:J61"/>
    <mergeCell ref="A55:C55"/>
    <mergeCell ref="A32:C32"/>
    <mergeCell ref="A28:C28"/>
    <mergeCell ref="A52:C52"/>
    <mergeCell ref="A59:C59"/>
    <mergeCell ref="A29:C29"/>
    <mergeCell ref="A30:C30"/>
    <mergeCell ref="A31:C31"/>
    <mergeCell ref="A51:C51"/>
    <mergeCell ref="A47:C47"/>
    <mergeCell ref="A48:C48"/>
    <mergeCell ref="A49:C49"/>
    <mergeCell ref="A50:C50"/>
    <mergeCell ref="A54:C54"/>
    <mergeCell ref="A2:C2"/>
    <mergeCell ref="A23:C23"/>
    <mergeCell ref="A24:C24"/>
    <mergeCell ref="A10:C10"/>
    <mergeCell ref="A15:C15"/>
    <mergeCell ref="A16:C16"/>
    <mergeCell ref="A17:C17"/>
    <mergeCell ref="A18:C18"/>
    <mergeCell ref="A19:C19"/>
    <mergeCell ref="A20:C20"/>
    <mergeCell ref="A63:C63"/>
    <mergeCell ref="A68:C68"/>
    <mergeCell ref="A69:C69"/>
    <mergeCell ref="I9:J9"/>
    <mergeCell ref="I10:J10"/>
    <mergeCell ref="I51:J51"/>
    <mergeCell ref="I52:J52"/>
    <mergeCell ref="I43:J43"/>
    <mergeCell ref="I44:J44"/>
    <mergeCell ref="I45:J45"/>
    <mergeCell ref="A88:C88"/>
    <mergeCell ref="A61:C61"/>
    <mergeCell ref="A62:C62"/>
    <mergeCell ref="A65:J65"/>
    <mergeCell ref="G66:J66"/>
    <mergeCell ref="F64:H64"/>
    <mergeCell ref="I62:J62"/>
    <mergeCell ref="I63:J63"/>
    <mergeCell ref="I64:J64"/>
    <mergeCell ref="A70:C70"/>
    <mergeCell ref="A87:C87"/>
    <mergeCell ref="G96:J96"/>
    <mergeCell ref="A71:C71"/>
    <mergeCell ref="A72:C72"/>
    <mergeCell ref="A73:C73"/>
    <mergeCell ref="A74:C74"/>
    <mergeCell ref="A76:C76"/>
    <mergeCell ref="A94:F94"/>
    <mergeCell ref="F77:J82"/>
    <mergeCell ref="F84:J84"/>
    <mergeCell ref="Q87:U87"/>
    <mergeCell ref="A80:C80"/>
    <mergeCell ref="A81:C81"/>
    <mergeCell ref="G95:J95"/>
    <mergeCell ref="A92:C92"/>
    <mergeCell ref="A91:C91"/>
    <mergeCell ref="A84:C84"/>
    <mergeCell ref="F85:J92"/>
    <mergeCell ref="A85:C85"/>
    <mergeCell ref="A86:C86"/>
  </mergeCells>
  <conditionalFormatting sqref="F59:F62 F15:F25 F28:F31 F47:F56 F4:F12">
    <cfRule type="expression" priority="1" dxfId="0" stopIfTrue="1">
      <formula>OR(AND(E4&gt;0,F4=0),F4="x")</formula>
    </cfRule>
  </conditionalFormatting>
  <conditionalFormatting sqref="F35:F44">
    <cfRule type="expression" priority="2" dxfId="0" stopIfTrue="1">
      <formula>OR(AND(E35&gt;0,F35=0,NOT(E35="")),F35="x")</formula>
    </cfRule>
  </conditionalFormatting>
  <conditionalFormatting sqref="K77:O77 K81:O81">
    <cfRule type="cellIs" priority="3" dxfId="1" operator="greaterThan" stopIfTrue="1">
      <formula>SUM(K68:K73)</formula>
    </cfRule>
    <cfRule type="cellIs" priority="4" dxfId="0" operator="greaterThan" stopIfTrue="1">
      <formula>0</formula>
    </cfRule>
  </conditionalFormatting>
  <conditionalFormatting sqref="F67">
    <cfRule type="expression" priority="5" dxfId="0" stopIfTrue="1">
      <formula>AND(F75&gt;0,F67=0)</formula>
    </cfRule>
  </conditionalFormatting>
  <conditionalFormatting sqref="F75">
    <cfRule type="expression" priority="6" dxfId="0" stopIfTrue="1">
      <formula>F67=0</formula>
    </cfRule>
  </conditionalFormatting>
  <conditionalFormatting sqref="I19:J23 I24:I25 I59:I62 I28:I29 I4:I12 I15:I18 I47:I56">
    <cfRule type="expression" priority="7" dxfId="0" stopIfTrue="1">
      <formula>AND(E4&gt;0,I4=0)</formula>
    </cfRule>
  </conditionalFormatting>
  <conditionalFormatting sqref="I35:I44">
    <cfRule type="expression" priority="8" dxfId="0" stopIfTrue="1">
      <formula>AND(E35&gt;0,I35=0,NOT(E35=""))</formula>
    </cfRule>
  </conditionalFormatting>
  <conditionalFormatting sqref="L94:O94">
    <cfRule type="expression" priority="9" dxfId="0" stopIfTrue="1">
      <formula>AND(L94&gt;0,L93&gt;0)</formula>
    </cfRule>
    <cfRule type="cellIs" priority="10" dxfId="0" operator="greaterThan" stopIfTrue="1">
      <formula>0</formula>
    </cfRule>
  </conditionalFormatting>
  <conditionalFormatting sqref="K67:O67">
    <cfRule type="expression" priority="11" dxfId="2" stopIfTrue="1">
      <formula>X67&gt;0</formula>
    </cfRule>
  </conditionalFormatting>
  <conditionalFormatting sqref="I30:I31">
    <cfRule type="expression" priority="12" dxfId="3" stopIfTrue="1">
      <formula>AND(E30&gt;0,I30=0)</formula>
    </cfRule>
    <cfRule type="cellIs" priority="13" dxfId="4" operator="lessThan" stopIfTrue="1">
      <formula>0</formula>
    </cfRule>
  </conditionalFormatting>
  <conditionalFormatting sqref="A29:C29">
    <cfRule type="expression" priority="14" dxfId="0" stopIfTrue="1">
      <formula>AND(E74&gt;0,E75=0)</formula>
    </cfRule>
  </conditionalFormatting>
  <conditionalFormatting sqref="K82:O82">
    <cfRule type="cellIs" priority="15" dxfId="1" operator="greaterThan" stopIfTrue="1">
      <formula>SUM(K72:K77)</formula>
    </cfRule>
    <cfRule type="cellIs" priority="16" dxfId="0" operator="greaterThan" stopIfTrue="1">
      <formula>0</formula>
    </cfRule>
  </conditionalFormatting>
  <conditionalFormatting sqref="K78:O80">
    <cfRule type="cellIs" priority="17" dxfId="1" operator="greaterThan" stopIfTrue="1">
      <formula>SUM(K70:K75)</formula>
    </cfRule>
    <cfRule type="cellIs" priority="18" dxfId="0" operator="greaterThan" stopIfTrue="1">
      <formula>0</formula>
    </cfRule>
  </conditionalFormatting>
  <conditionalFormatting sqref="K66:O66">
    <cfRule type="expression" priority="19" dxfId="1" stopIfTrue="1">
      <formula>K66&lt;&gt;0</formula>
    </cfRule>
    <cfRule type="expression" priority="20" dxfId="0" stopIfTrue="1">
      <formula>OR(AND(K66&lt;&gt;0,K93=0),AND(K66&gt;0,K96=0),K95&gt;K75)</formula>
    </cfRule>
  </conditionalFormatting>
  <conditionalFormatting sqref="L74:O74">
    <cfRule type="expression" priority="21" dxfId="0" stopIfTrue="1">
      <formula>AND(NOT(L95="---"),L74&lt;K74)</formula>
    </cfRule>
    <cfRule type="expression" priority="22" dxfId="1" stopIfTrue="1">
      <formula>OR(L66&lt;&gt;0,AND(L66&lt;&gt;0,NOT(L96=0)),L74&lt;L78)</formula>
    </cfRule>
  </conditionalFormatting>
  <conditionalFormatting sqref="K95">
    <cfRule type="expression" priority="23" dxfId="0" stopIfTrue="1">
      <formula>K95&gt;K75</formula>
    </cfRule>
    <cfRule type="expression" priority="24" dxfId="1" stopIfTrue="1">
      <formula>AND(K95&lt;&gt;K75,K95&gt;0)</formula>
    </cfRule>
  </conditionalFormatting>
  <conditionalFormatting sqref="K75:O75">
    <cfRule type="cellIs" priority="25" dxfId="0" operator="lessThan" stopIfTrue="1">
      <formula>K95</formula>
    </cfRule>
    <cfRule type="expression" priority="26" dxfId="1" stopIfTrue="1">
      <formula>AND(K95&gt;0,K75&gt;K95)</formula>
    </cfRule>
  </conditionalFormatting>
  <conditionalFormatting sqref="K74">
    <cfRule type="expression" priority="27" dxfId="0" stopIfTrue="1">
      <formula>AND(NOT(K95="---"),K74&lt;J74)</formula>
    </cfRule>
    <cfRule type="expression" priority="28" dxfId="1" stopIfTrue="1">
      <formula>OR(K66&lt;&gt;0,AND(K66&lt;&gt;0,NOT(K96=0)),K74&lt;K78,K94&gt;K74)</formula>
    </cfRule>
  </conditionalFormatting>
  <conditionalFormatting sqref="L95:O95">
    <cfRule type="expression" priority="29" dxfId="1" stopIfTrue="1">
      <formula>AND(K95&gt;0,L95&lt;L75,NOT(L95=0))</formula>
    </cfRule>
    <cfRule type="expression" priority="30" dxfId="0" stopIfTrue="1">
      <formula>K95&gt;K75</formula>
    </cfRule>
  </conditionalFormatting>
  <conditionalFormatting sqref="K97:O97">
    <cfRule type="expression" priority="31" dxfId="0" stopIfTrue="1">
      <formula>AND(K93&gt;0)</formula>
    </cfRule>
  </conditionalFormatting>
  <conditionalFormatting sqref="K94">
    <cfRule type="expression" priority="32" dxfId="1" stopIfTrue="1">
      <formula>OR(AND(K94&gt;0,K93&gt;0,K96&lt;0),K94&gt;K74)</formula>
    </cfRule>
    <cfRule type="cellIs" priority="33" dxfId="0" operator="greaterThan" stopIfTrue="1">
      <formula>0</formula>
    </cfRule>
  </conditionalFormatting>
  <conditionalFormatting sqref="K96:O96">
    <cfRule type="expression" priority="34" dxfId="0" stopIfTrue="1">
      <formula>Q89&gt;0</formula>
    </cfRule>
  </conditionalFormatting>
  <conditionalFormatting sqref="E75">
    <cfRule type="expression" priority="35" dxfId="0" stopIfTrue="1">
      <formula>E66&gt;0</formula>
    </cfRule>
  </conditionalFormatting>
  <conditionalFormatting sqref="E66">
    <cfRule type="expression" priority="36" dxfId="1" stopIfTrue="1">
      <formula>OR($E$74&lt;$E$67,E74&lt;E66,$E$66&lt;&gt;0)</formula>
    </cfRule>
  </conditionalFormatting>
  <conditionalFormatting sqref="E74">
    <cfRule type="expression" priority="37" dxfId="1" stopIfTrue="1">
      <formula>OR($E$74&lt;$E$67,SUM(E77:E82)&gt;E74)</formula>
    </cfRule>
  </conditionalFormatting>
  <conditionalFormatting sqref="K93:O93">
    <cfRule type="expression" priority="38" dxfId="0" stopIfTrue="1">
      <formula>OR(AND(K93&gt;0,SUM(L93:$O$93)=0),AND(K93&gt;0,Q89&gt;0))</formula>
    </cfRule>
  </conditionalFormatting>
  <conditionalFormatting sqref="E68:E73 K85:O91 E84:E91 K68:O73">
    <cfRule type="expression" priority="39" dxfId="0" stopIfTrue="1">
      <formula>E68&gt;0</formula>
    </cfRule>
  </conditionalFormatting>
  <conditionalFormatting sqref="E67">
    <cfRule type="cellIs" priority="40" dxfId="0" operator="equal" stopIfTrue="1">
      <formula>0</formula>
    </cfRule>
  </conditionalFormatting>
  <conditionalFormatting sqref="E96:F96">
    <cfRule type="expression" priority="41" dxfId="1" stopIfTrue="1">
      <formula>AND($E$95&gt;0,$E$96=0)</formula>
    </cfRule>
    <cfRule type="expression" priority="42" dxfId="1" stopIfTrue="1">
      <formula>AND(E96&lt;Q97,NOT(E66+E97)=0)</formula>
    </cfRule>
    <cfRule type="expression" priority="43" dxfId="5" stopIfTrue="1">
      <formula>OR(E66+E97=0,AND(E96&gt;K95,K95&gt;0))</formula>
    </cfRule>
  </conditionalFormatting>
  <conditionalFormatting sqref="E97">
    <cfRule type="expression" priority="44" dxfId="1" stopIfTrue="1">
      <formula>OR($E$74&lt;$E$67,AND($E$95&gt;$E$96,NOT($E$66=0)))</formula>
    </cfRule>
    <cfRule type="expression" priority="45" dxfId="5" stopIfTrue="1">
      <formula>$E$97&lt;&gt;0</formula>
    </cfRule>
  </conditionalFormatting>
  <conditionalFormatting sqref="E77:E82">
    <cfRule type="cellIs" priority="46" dxfId="1" operator="greaterThan" stopIfTrue="1">
      <formula>$E$74</formula>
    </cfRule>
    <cfRule type="cellIs" priority="47" dxfId="0" operator="lessThan" stopIfTrue="1">
      <formula>0</formula>
    </cfRule>
  </conditionalFormatting>
  <conditionalFormatting sqref="F68:J74">
    <cfRule type="expression" priority="48" dxfId="0" stopIfTrue="1">
      <formula>AND(E96&gt;0,E97&lt;0,NOT(E95=E96),NOT(E66=0))</formula>
    </cfRule>
  </conditionalFormatting>
  <printOptions/>
  <pageMargins left="1.18" right="0" top="0.25" bottom="0.25" header="0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Z56"/>
  <sheetViews>
    <sheetView showGridLines="0" workbookViewId="0" topLeftCell="A22">
      <selection activeCell="L1" sqref="L1"/>
    </sheetView>
  </sheetViews>
  <sheetFormatPr defaultColWidth="9.140625" defaultRowHeight="12.75"/>
  <cols>
    <col min="1" max="10" width="10.421875" style="0" customWidth="1"/>
    <col min="24" max="24" width="10.140625" style="0" customWidth="1"/>
  </cols>
  <sheetData>
    <row r="1" spans="1:26" ht="24.75" customHeight="1">
      <c r="A1" s="489"/>
      <c r="B1" s="490">
        <f>Budget!K2-1</f>
        <v>2008</v>
      </c>
      <c r="C1" s="491" t="s">
        <v>128</v>
      </c>
      <c r="D1" s="489"/>
      <c r="E1" s="489"/>
      <c r="F1" s="877" t="s">
        <v>132</v>
      </c>
      <c r="G1" s="877"/>
      <c r="H1" s="493">
        <f>Z1</f>
        <v>0</v>
      </c>
      <c r="I1" s="489"/>
      <c r="Q1" s="56" t="s">
        <v>122</v>
      </c>
      <c r="R1" s="56" t="s">
        <v>123</v>
      </c>
      <c r="S1" s="56" t="s">
        <v>124</v>
      </c>
      <c r="T1" s="56" t="s">
        <v>125</v>
      </c>
      <c r="U1" s="56" t="s">
        <v>126</v>
      </c>
      <c r="V1" s="56" t="s">
        <v>127</v>
      </c>
      <c r="W1" s="486" t="s">
        <v>135</v>
      </c>
      <c r="X1" s="486" t="s">
        <v>159</v>
      </c>
      <c r="Z1" s="35">
        <f>Budget!E75</f>
        <v>0</v>
      </c>
    </row>
    <row r="2" spans="1:26" ht="18" customHeight="1">
      <c r="A2" s="489"/>
      <c r="B2" s="489"/>
      <c r="C2" s="489"/>
      <c r="D2" s="489"/>
      <c r="E2" s="489"/>
      <c r="F2" s="492"/>
      <c r="G2" s="492" t="s">
        <v>133</v>
      </c>
      <c r="H2" s="493">
        <f>Z2</f>
        <v>0</v>
      </c>
      <c r="I2" s="491"/>
      <c r="J2" s="484"/>
      <c r="K2" s="484"/>
      <c r="Q2" s="35">
        <f>Budget!E13</f>
        <v>0</v>
      </c>
      <c r="R2" s="35">
        <f>Budget!E26</f>
        <v>0</v>
      </c>
      <c r="S2" s="35">
        <f>Budget!E32</f>
        <v>0</v>
      </c>
      <c r="T2" s="35">
        <f>Budget!E45</f>
        <v>0</v>
      </c>
      <c r="U2" s="35">
        <f>Budget!E57</f>
        <v>0</v>
      </c>
      <c r="V2" s="35">
        <f>Budget!E63</f>
        <v>0</v>
      </c>
      <c r="W2" s="35" t="e">
        <f>IF(Budget!E97&gt;0,Budget!E97+Budget!E67,Budget!E67+0)</f>
        <v>#VALUE!</v>
      </c>
      <c r="X2" s="35">
        <f>Budget!E74-Budget!E67</f>
        <v>0</v>
      </c>
      <c r="Y2" s="35"/>
      <c r="Z2" s="35">
        <f>Budget!E95</f>
        <v>0</v>
      </c>
    </row>
    <row r="3" spans="4:11" ht="14.25" customHeight="1">
      <c r="D3" s="482"/>
      <c r="E3" s="483"/>
      <c r="F3" s="483"/>
      <c r="G3" s="483" t="s">
        <v>134</v>
      </c>
      <c r="H3" s="483"/>
      <c r="I3" s="484"/>
      <c r="J3" s="484"/>
      <c r="K3" s="484"/>
    </row>
    <row r="5" ht="12.75">
      <c r="Q5" s="485"/>
    </row>
    <row r="17" ht="21" customHeight="1"/>
    <row r="18" ht="22.5" customHeight="1"/>
    <row r="19" ht="9" customHeight="1"/>
    <row r="20" spans="3:8" ht="17.25">
      <c r="C20" s="488">
        <f>Budget!K2-1</f>
        <v>2008</v>
      </c>
      <c r="D20" s="487" t="s">
        <v>129</v>
      </c>
      <c r="E20" s="487"/>
      <c r="F20" s="875" t="s">
        <v>130</v>
      </c>
      <c r="G20" s="875"/>
      <c r="H20" s="494">
        <f>Budget!E74</f>
        <v>0</v>
      </c>
    </row>
    <row r="33" ht="15.75" customHeight="1"/>
    <row r="35" spans="5:8" ht="15">
      <c r="E35" s="875" t="s">
        <v>131</v>
      </c>
      <c r="F35" s="876"/>
      <c r="G35" s="876"/>
      <c r="H35" s="495">
        <f>SUM(C48:G49)</f>
        <v>0</v>
      </c>
    </row>
    <row r="48" spans="3:7" ht="12.75">
      <c r="C48">
        <f>Budget!K65</f>
        <v>0</v>
      </c>
      <c r="D48">
        <f>Budget!L65</f>
        <v>0</v>
      </c>
      <c r="E48">
        <f>Budget!M65</f>
        <v>0</v>
      </c>
      <c r="F48">
        <f>Budget!N65</f>
        <v>0</v>
      </c>
      <c r="G48">
        <f>Budget!O65</f>
        <v>0</v>
      </c>
    </row>
    <row r="49" spans="4:7" ht="12.75">
      <c r="D49">
        <f>C48</f>
        <v>0</v>
      </c>
      <c r="E49">
        <f>(SUM(D48:D49))</f>
        <v>0</v>
      </c>
      <c r="F49">
        <f>(SUM(E48:E49))</f>
        <v>0</v>
      </c>
      <c r="G49">
        <f>(SUM(F48:F49))</f>
        <v>0</v>
      </c>
    </row>
    <row r="55" ht="7.5" customHeight="1"/>
    <row r="56" spans="1:10" ht="36" customHeight="1">
      <c r="A56" s="878" t="s">
        <v>169</v>
      </c>
      <c r="B56" s="879"/>
      <c r="C56" s="651">
        <f>C48</f>
        <v>0</v>
      </c>
      <c r="D56" s="882">
        <f>SUM(C48:D49)</f>
        <v>0</v>
      </c>
      <c r="E56" s="883"/>
      <c r="F56" s="651">
        <f>SUM(C48:E49)</f>
        <v>0</v>
      </c>
      <c r="G56" s="880">
        <f>SUM(C48:F49)</f>
        <v>0</v>
      </c>
      <c r="H56" s="881"/>
      <c r="I56" s="884">
        <f>SUM(C48:G49)</f>
        <v>0</v>
      </c>
      <c r="J56" s="885"/>
    </row>
    <row r="60" ht="33" customHeight="1"/>
  </sheetData>
  <sheetProtection formatCells="0" formatColumns="0" formatRows="0"/>
  <mergeCells count="7">
    <mergeCell ref="I56:J56"/>
    <mergeCell ref="E35:G35"/>
    <mergeCell ref="F20:G20"/>
    <mergeCell ref="F1:G1"/>
    <mergeCell ref="A56:B56"/>
    <mergeCell ref="G56:H56"/>
    <mergeCell ref="D56:E56"/>
  </mergeCells>
  <printOptions/>
  <pageMargins left="0.17" right="0.18" top="0.2" bottom="0.22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tabColor indexed="14"/>
  </sheetPr>
  <dimension ref="A1:CA3616"/>
  <sheetViews>
    <sheetView zoomScale="97" zoomScaleNormal="97" workbookViewId="0" topLeftCell="A1">
      <selection activeCell="D4" sqref="D4"/>
    </sheetView>
  </sheetViews>
  <sheetFormatPr defaultColWidth="9.140625" defaultRowHeight="12.75"/>
  <cols>
    <col min="1" max="1" width="0.42578125" style="339" customWidth="1"/>
    <col min="2" max="2" width="9.28125" style="1" customWidth="1"/>
    <col min="3" max="3" width="44.8515625" style="1" customWidth="1"/>
    <col min="4" max="4" width="12.57421875" style="1" customWidth="1"/>
    <col min="5" max="5" width="8.00390625" style="18" customWidth="1"/>
    <col min="6" max="6" width="10.421875" style="24" customWidth="1"/>
    <col min="7" max="7" width="14.8515625" style="25" customWidth="1"/>
    <col min="8" max="8" width="13.140625" style="26" customWidth="1"/>
    <col min="9" max="9" width="8.7109375" style="27" customWidth="1"/>
    <col min="10" max="10" width="9.8515625" style="28" hidden="1" customWidth="1"/>
    <col min="11" max="11" width="9.8515625" style="14" hidden="1" customWidth="1"/>
    <col min="12" max="12" width="9.421875" style="14" customWidth="1"/>
    <col min="13" max="13" width="12.28125" style="476" hidden="1" customWidth="1"/>
    <col min="14" max="14" width="12.28125" style="435" hidden="1" customWidth="1"/>
    <col min="15" max="15" width="12.28125" style="337" hidden="1" customWidth="1"/>
    <col min="16" max="16" width="9.28125" style="286" hidden="1" customWidth="1"/>
    <col min="17" max="18" width="9.28125" style="317" hidden="1" customWidth="1"/>
    <col min="19" max="19" width="9.28125" style="286" hidden="1" customWidth="1"/>
    <col min="20" max="20" width="11.421875" style="318" hidden="1" customWidth="1"/>
    <col min="21" max="21" width="11.28125" style="286" hidden="1" customWidth="1"/>
    <col min="22" max="22" width="9.28125" style="286" hidden="1" customWidth="1"/>
    <col min="23" max="23" width="9.28125" style="319" hidden="1" customWidth="1"/>
    <col min="24" max="25" width="9.28125" style="286" hidden="1" customWidth="1"/>
    <col min="26" max="26" width="9.28125" style="314" hidden="1" customWidth="1"/>
    <col min="27" max="31" width="9.28125" style="286" hidden="1" customWidth="1"/>
    <col min="32" max="32" width="11.00390625" style="286" hidden="1" customWidth="1"/>
    <col min="33" max="33" width="9.28125" style="286" hidden="1" customWidth="1"/>
    <col min="34" max="34" width="11.7109375" style="286" hidden="1" customWidth="1"/>
    <col min="35" max="36" width="9.28125" style="286" hidden="1" customWidth="1"/>
    <col min="37" max="37" width="10.28125" style="286" hidden="1" customWidth="1"/>
    <col min="38" max="39" width="9.28125" style="286" hidden="1" customWidth="1"/>
    <col min="40" max="40" width="9.7109375" style="286" hidden="1" customWidth="1"/>
    <col min="41" max="42" width="9.28125" style="286" hidden="1" customWidth="1"/>
    <col min="43" max="43" width="10.8515625" style="286" hidden="1" customWidth="1"/>
    <col min="44" max="63" width="9.28125" style="286" hidden="1" customWidth="1"/>
    <col min="64" max="64" width="8.7109375" style="286" hidden="1" customWidth="1"/>
    <col min="65" max="79" width="9.28125" style="286" hidden="1" customWidth="1"/>
    <col min="80" max="80" width="8.28125" style="1" customWidth="1"/>
    <col min="81" max="83" width="10.421875" style="1" customWidth="1"/>
    <col min="84" max="84" width="7.421875" style="1" customWidth="1"/>
    <col min="85" max="16384" width="17.7109375" style="1" customWidth="1"/>
  </cols>
  <sheetData>
    <row r="1" spans="1:16" ht="6.75" customHeight="1" thickBot="1">
      <c r="A1" s="398"/>
      <c r="B1" s="915"/>
      <c r="C1" s="916"/>
      <c r="D1" s="916"/>
      <c r="E1" s="916"/>
      <c r="F1" s="916"/>
      <c r="G1" s="916"/>
      <c r="H1" s="916"/>
      <c r="I1" s="916"/>
      <c r="J1" s="3"/>
      <c r="K1" s="3"/>
      <c r="L1" s="3"/>
      <c r="M1" s="524"/>
      <c r="N1" s="525"/>
      <c r="P1" s="435"/>
    </row>
    <row r="2" spans="1:74" ht="22.5" customHeight="1" thickTop="1">
      <c r="A2" s="928" t="s">
        <v>182</v>
      </c>
      <c r="B2" s="929"/>
      <c r="C2" s="929"/>
      <c r="D2" s="929"/>
      <c r="E2" s="929"/>
      <c r="F2" s="929"/>
      <c r="G2" s="929"/>
      <c r="H2" s="424" t="s">
        <v>203</v>
      </c>
      <c r="I2" s="390"/>
      <c r="J2" s="391"/>
      <c r="K2" s="5"/>
      <c r="L2" s="5"/>
      <c r="M2" s="526"/>
      <c r="N2" s="527"/>
      <c r="O2" s="436"/>
      <c r="P2" s="335"/>
      <c r="Q2" s="317">
        <f>COUNTIF(BU13:BU31,"&gt;0")</f>
        <v>0</v>
      </c>
      <c r="R2" s="285" t="str">
        <f>IF(R31=0,"x",IF(R31&gt;=D5,"x",IF(NOT(O31="L"),R31,"x")))</f>
        <v>x</v>
      </c>
      <c r="S2" s="285"/>
      <c r="T2" s="285"/>
      <c r="U2" s="432" t="str">
        <f>IF(U30=0,"x",IF(U30&gt;=D5,"x",IF(NOT(O30="L"),U30,"x")))</f>
        <v>x</v>
      </c>
      <c r="V2" s="285"/>
      <c r="W2" s="421"/>
      <c r="X2" s="285" t="str">
        <f>IF(X29=0,"x",IF(X29&gt;=D5,"x",IF(NOT(O29="L"),X29,"x")))</f>
        <v>x</v>
      </c>
      <c r="Y2" s="285"/>
      <c r="Z2" s="421"/>
      <c r="AA2" s="285" t="str">
        <f>IF(AA28=0,"x",IF(AA28&gt;=D5,"x",IF(NOT(O28="L"),AA28,"x")))</f>
        <v>x</v>
      </c>
      <c r="AB2" s="285"/>
      <c r="AC2" s="285"/>
      <c r="AD2" s="285" t="str">
        <f>IF(AD27=0,"x",IF(AD27&gt;=D5,"x",IF(NOT(O27="L"),AD27,"x")))</f>
        <v>x</v>
      </c>
      <c r="AE2" s="285"/>
      <c r="AF2" s="285"/>
      <c r="AG2" s="285" t="str">
        <f>IF(AG26=0,"x",IF(AG26&gt;=D5,"x",IF(NOT(O26="L"),AG26,"x")))</f>
        <v>x</v>
      </c>
      <c r="AH2" s="422"/>
      <c r="AI2" s="285"/>
      <c r="AJ2" s="432" t="str">
        <f>IF(AJ25=0,"x",IF(AJ25&gt;=D5,"x",IF(NOT(O25="L"),AJ25,"x")))</f>
        <v>x</v>
      </c>
      <c r="AK2" s="285"/>
      <c r="AL2" s="285"/>
      <c r="AM2" s="285" t="str">
        <f>IF(AM24=0,"x",IF(AM24&gt;=D5,"x",IF(NOT(O24="L"),AM24,"x")))</f>
        <v>x</v>
      </c>
      <c r="AN2" s="285"/>
      <c r="AO2" s="285"/>
      <c r="AP2" s="285" t="str">
        <f>IF(AP23=0,"x",IF(AP23&gt;=D5,"x",IF(NOT(O23="L"),AP23,"x")))</f>
        <v>x</v>
      </c>
      <c r="AQ2" s="285"/>
      <c r="AR2" s="285"/>
      <c r="AS2" s="432" t="str">
        <f>IF(AS22=0,"x",IF(AS22&gt;=D5,"x",IF(NOT(O22="L"),AS22,"x")))</f>
        <v>x</v>
      </c>
      <c r="AT2" s="285"/>
      <c r="AU2" s="285"/>
      <c r="AV2" s="285" t="str">
        <f>IF(AV21=0,"x",IF(AV21&gt;=D5,"x",IF(NOT(O21="L"),AV21,"x")))</f>
        <v>x</v>
      </c>
      <c r="AW2" s="285"/>
      <c r="AX2" s="285"/>
      <c r="AY2" s="285" t="str">
        <f>IF(AY20=0,"x",IF(AY20&gt;=D5,"x",IF(NOT(O20="L"),AY20,"x")))</f>
        <v>x</v>
      </c>
      <c r="AZ2" s="285"/>
      <c r="BA2" s="285"/>
      <c r="BB2" s="285" t="str">
        <f>IF(BB19=0,"x",IF(BB19&gt;=D5,"x",IF(NOT(O19="L"),BB19,"x")))</f>
        <v>x</v>
      </c>
      <c r="BC2" s="285"/>
      <c r="BD2" s="285"/>
      <c r="BE2" s="285" t="str">
        <f>IF(BE18=0,"x",IF(BE18=D5,"x",IF(NOT(O18="L"),BE18,"x")))</f>
        <v>x</v>
      </c>
      <c r="BF2" s="285"/>
      <c r="BG2" s="285"/>
      <c r="BH2" s="285" t="str">
        <f>IF(BH17=0,"x",IF(BH17&gt;=D5,"x",IF(NOT(O17="L"),BH17,"x")))</f>
        <v>x</v>
      </c>
      <c r="BI2" s="285"/>
      <c r="BJ2" s="285"/>
      <c r="BK2" s="285" t="str">
        <f>IF(BK16=0,"x",IF(BK16&gt;=D5,"x",IF(NOT(O16="L"),BK16,"x")))</f>
        <v>x</v>
      </c>
      <c r="BL2" s="285"/>
      <c r="BM2" s="285"/>
      <c r="BN2" s="285" t="str">
        <f>IF(BN15=0,"x",IF(BN15&gt;=D5,"x",IF(NOT(O15="L"),BN15,"x")))</f>
        <v>x</v>
      </c>
      <c r="BO2" s="285"/>
      <c r="BP2" s="285"/>
      <c r="BQ2" s="285" t="str">
        <f>IF(BQ14=0,"x",IF(BQ14&gt;=D5,"x",IF(NOT(O14="L"),BQ14,"x")))</f>
        <v>x</v>
      </c>
      <c r="BR2" s="285"/>
      <c r="BS2" s="285"/>
      <c r="BT2" s="437" t="str">
        <f>IF(BT12&gt;=D5,"x",IF(NOT(O13="L"),BT12,"x"))</f>
        <v>x</v>
      </c>
      <c r="BU2" s="437"/>
      <c r="BV2" s="437"/>
    </row>
    <row r="3" spans="1:79" s="2" customFormat="1" ht="17.25" customHeight="1">
      <c r="A3" s="930" t="s">
        <v>103</v>
      </c>
      <c r="B3" s="931"/>
      <c r="C3" s="931"/>
      <c r="D3" s="917" t="s">
        <v>179</v>
      </c>
      <c r="E3" s="918"/>
      <c r="F3" s="918"/>
      <c r="G3" s="918"/>
      <c r="H3" s="919"/>
      <c r="I3" s="389"/>
      <c r="J3" s="696"/>
      <c r="K3" s="405"/>
      <c r="M3" s="336"/>
      <c r="N3" s="528"/>
      <c r="O3" s="336"/>
      <c r="P3" s="336"/>
      <c r="Q3" s="35"/>
      <c r="R3" s="35"/>
      <c r="S3" s="35" t="str">
        <f>IF(AND(Q2=1,NOT(Q9=D5),NOT(Q9=0)),"Rate decrease of "&amp;TEXT((D5-P9),"$0.00")&amp;" a month per unit billed  "&amp;"("&amp;TEXT((D5-Q6)*D4*12,"$0")&amp;" annually) is possible at end of year "&amp;TEXT(R7,"0.0"),"If this background appears in the 'Years to Replace' column below, a rate decrease or reassignment of reserve funds is possible and information will be shown here.")</f>
        <v>If this background appears in the 'Years to Replace' column below, a rate decrease or reassignment of reserve funds is possible and information will be shown here.</v>
      </c>
      <c r="T3" s="35"/>
      <c r="U3" s="35"/>
      <c r="V3" s="35"/>
      <c r="W3" s="35"/>
      <c r="X3" s="35"/>
      <c r="Y3" s="901" t="s">
        <v>104</v>
      </c>
      <c r="Z3" s="901"/>
      <c r="AA3" s="901"/>
      <c r="AB3" s="901"/>
      <c r="AC3" s="901"/>
      <c r="AD3" s="901"/>
      <c r="AE3" s="901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36"/>
      <c r="BZ3" s="336"/>
      <c r="CA3" s="336"/>
    </row>
    <row r="4" spans="1:44" ht="13.5" customHeight="1">
      <c r="A4" s="932" t="s">
        <v>87</v>
      </c>
      <c r="B4" s="931"/>
      <c r="C4" s="931"/>
      <c r="D4" s="423"/>
      <c r="E4" s="920">
        <f>IF(E12=0,"","Total cash expense over "&amp;TEXT(E12,0)&amp;" years:")</f>
      </c>
      <c r="F4" s="921"/>
      <c r="G4" s="921"/>
      <c r="H4" s="428">
        <f>IF(E12=0,"",SUM(G12:G31))</f>
      </c>
      <c r="I4" s="320"/>
      <c r="J4" s="342"/>
      <c r="K4" s="406"/>
      <c r="N4" s="336"/>
      <c r="O4" s="438"/>
      <c r="P4" s="439"/>
      <c r="Y4" s="901"/>
      <c r="Z4" s="901"/>
      <c r="AA4" s="901"/>
      <c r="AB4" s="901"/>
      <c r="AC4" s="901"/>
      <c r="AD4" s="901"/>
      <c r="AE4" s="901"/>
      <c r="AM4" s="35"/>
      <c r="AP4" s="35"/>
      <c r="AR4" s="440"/>
    </row>
    <row r="5" spans="1:44" ht="12.75" customHeight="1">
      <c r="A5" s="932" t="s">
        <v>101</v>
      </c>
      <c r="B5" s="931"/>
      <c r="C5" s="931"/>
      <c r="D5" s="429">
        <f>IF(ISERROR(IF(SUM(E12:E31)&gt;0,CEILING(SUM(J12:J31),0.01),0)),"",IF(SUM(E12:E31)&gt;0,CEILING(SUM(J12:J31),0.01),0))</f>
        <v>0</v>
      </c>
      <c r="E5" s="926"/>
      <c r="F5" s="922" t="str">
        <f>IF(ISERROR(T5),"Check for entry errors below!",T5)</f>
        <v>If this background appears in the 'Years to Replace' column below, a rate decrease or reassignment of reserve funds is possible and information will be shown here.</v>
      </c>
      <c r="G5" s="923"/>
      <c r="H5" s="924"/>
      <c r="I5" s="281"/>
      <c r="J5" s="15"/>
      <c r="K5" s="408"/>
      <c r="L5" s="324"/>
      <c r="M5" s="529"/>
      <c r="N5" s="317"/>
      <c r="P5" s="435" t="s">
        <v>206</v>
      </c>
      <c r="S5" s="326"/>
      <c r="T5" s="900" t="str">
        <f>IF(AND(D4&gt;0,A32="Error!"),"Check For Entry Errors Below!",IF((Q2)&gt;1,"Multiple rate reductions totaling "&amp;""&amp;TEXT((D5-Q6)*D4*12,"$0")&amp;" per year are possible thru end of year "&amp;TEXT(S6,"0.0")&amp;": 1st decrease of "&amp;TEXT((D5-P9),"$0.00")&amp;" a month per unit billed  "&amp;"("&amp;TEXT((D5-P9)*D4*12,"$0")&amp;" annually) is possible at end of year "&amp;TEXT(R7,"0.0"),IF(AND(Q2=1,NOT(Q9=D5),NOT(Q9=0)),"Rate decrease of "&amp;TEXT((D5-P9),"$0.00")&amp;" a month per unit billed  "&amp;"("&amp;TEXT((D5-Q6)*D4*12,"$0")&amp;" annually) is possible at end of year "&amp;TEXT(R7,"0.0"),"If this background appears in the 'Years to Replace' column below, a rate decrease or reassignment of reserve funds is possible and information will be shown here.")))</f>
        <v>If this background appears in the 'Years to Replace' column below, a rate decrease or reassignment of reserve funds is possible and information will be shown here.</v>
      </c>
      <c r="U5" s="901"/>
      <c r="V5" s="901"/>
      <c r="W5" s="901"/>
      <c r="X5" s="901"/>
      <c r="Y5" s="901"/>
      <c r="Z5" s="901"/>
      <c r="AA5" s="901"/>
      <c r="AB5" s="901"/>
      <c r="AC5" s="901"/>
      <c r="AD5" s="901"/>
      <c r="AE5" s="901"/>
      <c r="AR5" s="440"/>
    </row>
    <row r="6" spans="1:79" s="7" customFormat="1" ht="15" customHeight="1">
      <c r="A6" s="932" t="s">
        <v>102</v>
      </c>
      <c r="B6" s="931"/>
      <c r="C6" s="931"/>
      <c r="D6" s="430">
        <f>IF(AND(D4=0,NOT(H4="")),0,IF(ISERROR(CEILING(D4*D5*12,1)),"",CEILING(D4*D5*12,1)))</f>
        <v>0</v>
      </c>
      <c r="E6" s="927"/>
      <c r="F6" s="925"/>
      <c r="G6" s="923"/>
      <c r="H6" s="924"/>
      <c r="I6" s="281"/>
      <c r="K6" s="407"/>
      <c r="L6" s="325"/>
      <c r="M6" s="530"/>
      <c r="N6" s="117"/>
      <c r="O6" s="360"/>
      <c r="P6" s="441" t="s">
        <v>88</v>
      </c>
      <c r="Q6" s="284">
        <f>MIN(R2,U2,X2,AA2,AD2,AG2,AJ2,AM2,AP2,AS2,AV2,AY2,BB2,BE2,BH2,BK2,BN2,BQ2,BT2)</f>
        <v>0</v>
      </c>
      <c r="R6" s="442" t="s">
        <v>95</v>
      </c>
      <c r="S6" s="326">
        <f>MAX(O13:O31)</f>
        <v>0</v>
      </c>
      <c r="T6" s="901"/>
      <c r="U6" s="901"/>
      <c r="V6" s="901"/>
      <c r="W6" s="901"/>
      <c r="X6" s="901"/>
      <c r="Y6" s="901"/>
      <c r="Z6" s="901"/>
      <c r="AA6" s="901"/>
      <c r="AB6" s="901"/>
      <c r="AC6" s="901"/>
      <c r="AD6" s="901"/>
      <c r="AE6" s="901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443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</row>
    <row r="7" spans="1:79" s="7" customFormat="1" ht="18" customHeight="1" thickBot="1">
      <c r="A7" s="935">
        <f>IF(AND(D7&gt;0,NOT(D7="")),"Additional revenue at end of year "&amp;TEXT(E12,"0.0")&amp;" above listed needs:","")</f>
      </c>
      <c r="B7" s="931"/>
      <c r="C7" s="931"/>
      <c r="D7" s="430">
        <f>IF(ISERROR(IF(K12&gt;P12,K12-P12,0)),"",IF(K12&gt;P12,K12-P12,""))</f>
      </c>
      <c r="E7" s="927"/>
      <c r="F7" s="925"/>
      <c r="G7" s="923"/>
      <c r="H7" s="924"/>
      <c r="I7" s="281"/>
      <c r="J7" s="6" t="s">
        <v>204</v>
      </c>
      <c r="K7" s="6" t="s">
        <v>205</v>
      </c>
      <c r="L7" s="6"/>
      <c r="M7" s="530"/>
      <c r="N7" s="117"/>
      <c r="O7" s="360"/>
      <c r="P7" s="282"/>
      <c r="Q7" s="283" t="s">
        <v>98</v>
      </c>
      <c r="R7" s="326" t="e">
        <f>SMALL(O13:O31,1)</f>
        <v>#NUM!</v>
      </c>
      <c r="S7" s="117"/>
      <c r="T7" s="901"/>
      <c r="U7" s="901"/>
      <c r="V7" s="901"/>
      <c r="W7" s="901"/>
      <c r="X7" s="901"/>
      <c r="Y7" s="901"/>
      <c r="Z7" s="901"/>
      <c r="AA7" s="901"/>
      <c r="AB7" s="901"/>
      <c r="AC7" s="901"/>
      <c r="AD7" s="901"/>
      <c r="AE7" s="901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S7" s="117"/>
      <c r="BT7" s="117"/>
      <c r="BU7" s="117"/>
      <c r="BV7" s="117"/>
      <c r="BW7" s="117"/>
      <c r="BX7" s="117"/>
      <c r="BY7" s="117"/>
      <c r="BZ7" s="117"/>
      <c r="CA7" s="117"/>
    </row>
    <row r="8" spans="1:79" s="8" customFormat="1" ht="0" customHeight="1" hidden="1" thickBot="1">
      <c r="A8" s="936"/>
      <c r="B8" s="937"/>
      <c r="C8" s="937"/>
      <c r="D8" s="425"/>
      <c r="E8" s="426"/>
      <c r="F8" s="426"/>
      <c r="G8" s="426"/>
      <c r="H8" s="427"/>
      <c r="I8" s="281"/>
      <c r="M8" s="530"/>
      <c r="N8" s="39"/>
      <c r="O8" s="444"/>
      <c r="P8" s="39"/>
      <c r="Q8" s="280"/>
      <c r="R8" s="39"/>
      <c r="S8" s="39"/>
      <c r="T8" s="901"/>
      <c r="U8" s="901"/>
      <c r="V8" s="901"/>
      <c r="W8" s="901"/>
      <c r="X8" s="901"/>
      <c r="Y8" s="35"/>
      <c r="Z8" s="35"/>
      <c r="AA8" s="35"/>
      <c r="AB8" s="35"/>
      <c r="AC8" s="39"/>
      <c r="AD8" s="39"/>
      <c r="AE8" s="39"/>
      <c r="AF8" s="445"/>
      <c r="AG8" s="39"/>
      <c r="AH8" s="39"/>
      <c r="AI8" s="39"/>
      <c r="AJ8" s="39"/>
      <c r="AK8" s="39"/>
      <c r="AL8" s="445"/>
      <c r="AM8" s="39"/>
      <c r="AN8" s="39"/>
      <c r="AO8" s="39"/>
      <c r="AP8" s="39"/>
      <c r="AQ8" s="39"/>
      <c r="AR8" s="445"/>
      <c r="AS8" s="39"/>
      <c r="AT8" s="39"/>
      <c r="AU8" s="39"/>
      <c r="AV8" s="39"/>
      <c r="AW8" s="39"/>
      <c r="AX8" s="445"/>
      <c r="AY8" s="39"/>
      <c r="AZ8" s="39"/>
      <c r="BA8" s="39"/>
      <c r="BB8" s="39"/>
      <c r="BC8" s="39"/>
      <c r="BD8" s="445"/>
      <c r="BE8" s="39"/>
      <c r="BF8" s="39"/>
      <c r="BG8" s="39"/>
      <c r="BH8" s="39"/>
      <c r="BI8" s="39"/>
      <c r="BJ8" s="445"/>
      <c r="BK8" s="39"/>
      <c r="BL8" s="39"/>
      <c r="BM8" s="39"/>
      <c r="BN8" s="39"/>
      <c r="BO8" s="39"/>
      <c r="BP8" s="445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</row>
    <row r="9" spans="1:79" s="7" customFormat="1" ht="13.5" customHeight="1" thickTop="1">
      <c r="A9" s="887" t="s">
        <v>100</v>
      </c>
      <c r="B9" s="888"/>
      <c r="C9" s="888"/>
      <c r="D9" s="888"/>
      <c r="E9" s="888"/>
      <c r="F9" s="888"/>
      <c r="G9" s="888"/>
      <c r="H9" s="889"/>
      <c r="I9" s="281"/>
      <c r="J9" s="908" t="s">
        <v>0</v>
      </c>
      <c r="K9" s="906" t="s">
        <v>1</v>
      </c>
      <c r="L9" s="277"/>
      <c r="M9" s="530"/>
      <c r="N9" s="35"/>
      <c r="O9" s="446" t="s">
        <v>99</v>
      </c>
      <c r="P9" s="284">
        <f>IF(ISERROR(Q9),0,Q9)</f>
        <v>0</v>
      </c>
      <c r="Q9" s="447">
        <f>IF(Q2=1,Q6,IF(Q2&gt;1,LARGE(R2:BT2,1),0))</f>
        <v>0</v>
      </c>
      <c r="R9" s="117"/>
      <c r="S9" s="117"/>
      <c r="T9" s="901"/>
      <c r="U9" s="901"/>
      <c r="V9" s="901"/>
      <c r="W9" s="901"/>
      <c r="X9" s="901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117"/>
      <c r="BX9" s="117"/>
      <c r="BY9" s="117"/>
      <c r="BZ9" s="117"/>
      <c r="CA9" s="117"/>
    </row>
    <row r="10" spans="1:76" ht="25.5" customHeight="1" thickBot="1">
      <c r="A10" s="890"/>
      <c r="B10" s="891"/>
      <c r="C10" s="891"/>
      <c r="D10" s="891"/>
      <c r="E10" s="891"/>
      <c r="F10" s="891"/>
      <c r="G10" s="891"/>
      <c r="H10" s="892"/>
      <c r="I10" s="363"/>
      <c r="J10" s="909"/>
      <c r="K10" s="907"/>
      <c r="L10" s="237"/>
      <c r="M10" s="530"/>
      <c r="O10" s="448"/>
      <c r="P10" s="9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117"/>
      <c r="BS10" s="35"/>
      <c r="BT10" s="35"/>
      <c r="BU10" s="35"/>
      <c r="BV10" s="35"/>
      <c r="BW10" s="35"/>
      <c r="BX10" s="35"/>
    </row>
    <row r="11" spans="1:79" s="7" customFormat="1" ht="24" customHeight="1" thickBot="1" thickTop="1">
      <c r="A11" s="479"/>
      <c r="B11" s="480"/>
      <c r="C11" s="589" t="s">
        <v>2</v>
      </c>
      <c r="D11" s="590" t="s">
        <v>55</v>
      </c>
      <c r="E11" s="591" t="s">
        <v>3</v>
      </c>
      <c r="F11" s="592" t="s">
        <v>4</v>
      </c>
      <c r="G11" s="403" t="s">
        <v>96</v>
      </c>
      <c r="H11" s="404" t="s">
        <v>6</v>
      </c>
      <c r="I11" s="281"/>
      <c r="J11" s="909"/>
      <c r="K11" s="907"/>
      <c r="L11" s="237"/>
      <c r="M11" s="530"/>
      <c r="N11" s="338" t="s">
        <v>207</v>
      </c>
      <c r="O11" s="449" t="s">
        <v>109</v>
      </c>
      <c r="P11" s="288" t="s">
        <v>5</v>
      </c>
      <c r="Q11" s="450" t="s">
        <v>68</v>
      </c>
      <c r="R11" s="894" t="s">
        <v>69</v>
      </c>
      <c r="S11" s="895"/>
      <c r="T11" s="451" t="s">
        <v>68</v>
      </c>
      <c r="U11" s="896" t="s">
        <v>70</v>
      </c>
      <c r="V11" s="897"/>
      <c r="W11" s="452" t="s">
        <v>68</v>
      </c>
      <c r="X11" s="898" t="s">
        <v>71</v>
      </c>
      <c r="Y11" s="899"/>
      <c r="Z11" s="453" t="s">
        <v>68</v>
      </c>
      <c r="AA11" s="893" t="s">
        <v>72</v>
      </c>
      <c r="AB11" s="893"/>
      <c r="AC11" s="454" t="s">
        <v>68</v>
      </c>
      <c r="AD11" s="894" t="s">
        <v>73</v>
      </c>
      <c r="AE11" s="895"/>
      <c r="AF11" s="455" t="s">
        <v>68</v>
      </c>
      <c r="AG11" s="902" t="s">
        <v>74</v>
      </c>
      <c r="AH11" s="903"/>
      <c r="AI11" s="455" t="s">
        <v>68</v>
      </c>
      <c r="AJ11" s="902" t="s">
        <v>75</v>
      </c>
      <c r="AK11" s="933"/>
      <c r="AL11" s="455" t="s">
        <v>68</v>
      </c>
      <c r="AM11" s="902" t="s">
        <v>76</v>
      </c>
      <c r="AN11" s="934"/>
      <c r="AO11" s="456" t="s">
        <v>5</v>
      </c>
      <c r="AP11" s="898" t="s">
        <v>77</v>
      </c>
      <c r="AQ11" s="899"/>
      <c r="AR11" s="457" t="s">
        <v>68</v>
      </c>
      <c r="AS11" s="902" t="s">
        <v>78</v>
      </c>
      <c r="AT11" s="903"/>
      <c r="AU11" s="458" t="s">
        <v>68</v>
      </c>
      <c r="AV11" s="898" t="s">
        <v>79</v>
      </c>
      <c r="AW11" s="899"/>
      <c r="AX11" s="457" t="s">
        <v>68</v>
      </c>
      <c r="AY11" s="902" t="s">
        <v>80</v>
      </c>
      <c r="AZ11" s="933"/>
      <c r="BA11" s="456" t="s">
        <v>68</v>
      </c>
      <c r="BB11" s="898" t="s">
        <v>81</v>
      </c>
      <c r="BC11" s="899"/>
      <c r="BD11" s="455" t="s">
        <v>68</v>
      </c>
      <c r="BE11" s="902" t="s">
        <v>82</v>
      </c>
      <c r="BF11" s="933"/>
      <c r="BG11" s="456" t="s">
        <v>68</v>
      </c>
      <c r="BH11" s="898" t="s">
        <v>83</v>
      </c>
      <c r="BI11" s="899"/>
      <c r="BJ11" s="455" t="s">
        <v>68</v>
      </c>
      <c r="BK11" s="902" t="s">
        <v>84</v>
      </c>
      <c r="BL11" s="933"/>
      <c r="BM11" s="456" t="s">
        <v>68</v>
      </c>
      <c r="BN11" s="898" t="s">
        <v>85</v>
      </c>
      <c r="BO11" s="899"/>
      <c r="BP11" s="453" t="s">
        <v>68</v>
      </c>
      <c r="BQ11" s="893" t="s">
        <v>86</v>
      </c>
      <c r="BR11" s="893"/>
      <c r="BS11" s="35"/>
      <c r="BT11" s="459">
        <f>IF(BS16=E12,0,-PMT($H12/12,($E12-BS16)*12,0,(BS12)/$D$4))</f>
        <v>0</v>
      </c>
      <c r="BU11" s="460"/>
      <c r="BV11" s="460" t="s">
        <v>108</v>
      </c>
      <c r="BW11" s="461" t="s">
        <v>107</v>
      </c>
      <c r="BX11" s="461" t="s">
        <v>105</v>
      </c>
      <c r="BY11" s="886" t="s">
        <v>106</v>
      </c>
      <c r="BZ11" s="886"/>
      <c r="CA11" s="886"/>
    </row>
    <row r="12" spans="2:79" s="7" customFormat="1" ht="15" customHeight="1" thickBot="1" thickTop="1">
      <c r="B12" s="397">
        <v>1</v>
      </c>
      <c r="C12" s="697"/>
      <c r="D12" s="399"/>
      <c r="E12" s="400"/>
      <c r="F12" s="401"/>
      <c r="G12" s="402">
        <f aca="true" t="shared" si="0" ref="G12:G31">IF(D12=0,"",-FV(F12,E12,0,D12,0))</f>
      </c>
      <c r="H12" s="395"/>
      <c r="I12" s="281"/>
      <c r="J12" s="141">
        <f>IF(K12&gt;=P12,0,-PMT(H12/12,E12*12,0,(P12-K12))/$D$4)</f>
        <v>0</v>
      </c>
      <c r="K12" s="142">
        <f>IF(K13&gt;P13,(-FV(H12,(E12-E13),0,(K13-P13)))+-FV(H12/12,(E12-E13)*12,SUM(J13:$J$31)*$D$4,0),IF(AND(D12&gt;0,E12&gt;0),-FV(H12/12,(E12-E13)*12,SUM(J13:$J$31)*$D$4,0),0))</f>
        <v>0</v>
      </c>
      <c r="L12" s="11"/>
      <c r="M12" s="11"/>
      <c r="N12" s="326">
        <f>IF(D12&gt;0,E12,0)</f>
        <v>0</v>
      </c>
      <c r="O12" s="117"/>
      <c r="P12" s="10">
        <f>IF(D12=0,0,G12)</f>
        <v>0</v>
      </c>
      <c r="Q12" s="289">
        <f aca="true" t="shared" si="1" ref="Q12:Q26">IF(D12=0,0,P12)</f>
        <v>0</v>
      </c>
      <c r="R12" s="290">
        <f aca="true" t="shared" si="2" ref="R12:R28">IF($R$30=0,0,IF(S12&gt;=$Q12,0,-PMT($H12/12,($E12-$Q$31)*12,0,($Q12-$S12))/$D$4))</f>
        <v>0</v>
      </c>
      <c r="S12" s="291">
        <f>IF(S13&gt;Q13,(-FV(H12,(E12-E13),0,(S13-Q13)))+-FV(H12/12,(E12-E13)*12,SUM(R13:$R$30)*$D$4,0),-FV(H12/12,(E12-E13)*12,SUM(R13:$R$30)*$D$4,0))</f>
        <v>0</v>
      </c>
      <c r="T12" s="343">
        <f aca="true" t="shared" si="3" ref="T12:T26">IF(D12=0,0,P12)</f>
        <v>0</v>
      </c>
      <c r="U12" s="299">
        <f aca="true" t="shared" si="4" ref="U12:U27">IF($U$29=0,0,IF(V12&gt;=$T12,0,-PMT($H12/12,($E12-$T$30)*12,0,($T12-$V12))/$D$4))</f>
        <v>0</v>
      </c>
      <c r="V12" s="292">
        <f>IF(V13&gt;$T13,(-FV($H12,($E12-$E13),0,(V13-$T13)))+-FV($H12/12,($E12-$E13)*12,SUM(U13:$U$29)*$D$4,0),-FV($H12/12,($E12-$E13)*12,SUM(U13:$U$29)*$D$4,0))</f>
        <v>0</v>
      </c>
      <c r="W12" s="393">
        <f aca="true" t="shared" si="5" ref="W12:W26">IF(D12=0,0,P12)</f>
        <v>0</v>
      </c>
      <c r="X12" s="293">
        <f aca="true" t="shared" si="6" ref="X12:X26">IF($X$28=0,0,IF(Y12&gt;=$W12,0,-PMT($H12/12,($E12-$W$29)*12,0,($W12-Y12))/$D$4))</f>
        <v>0</v>
      </c>
      <c r="Y12" s="294">
        <f>IF(Y13&gt;$W13,(-FV($H12,($E12-$E13),0,(Y13-$W13)))+-FV($H12/12,($E12-$E13)*12,SUM(X13:$X$28)*$D$4,0),-FV($H12/12,($E12-$E13)*12,SUM(X13:$X$28)*$D$4,0))</f>
        <v>0</v>
      </c>
      <c r="Z12" s="295">
        <f aca="true" t="shared" si="7" ref="Z12:Z26">IF(D12=0,0,P12)</f>
        <v>0</v>
      </c>
      <c r="AA12" s="299">
        <f>IF($AA$27=0,0,IF(AB12&gt;=$Z12,0,-PMT($H12/12,($E12-$Z$28)*12,0,($Z12-AB12))/$D$4))</f>
        <v>0</v>
      </c>
      <c r="AB12" s="296">
        <f>IF(AB13&gt;$Z13,(-FV($H12,($E12-$E13),0,(AB13-$Z13)))+-FV($H12/12,($E12-$E13)*12,SUM(AA13:$AA$27)*$D$4,0),-FV($H12/12,($E12-$E13)*12,SUM(AA13:$AA$27)*$D$4,0))</f>
        <v>0</v>
      </c>
      <c r="AC12" s="297">
        <f aca="true" t="shared" si="8" ref="AC12:AC24">IF(D12=0,0,P12)</f>
        <v>0</v>
      </c>
      <c r="AD12" s="290">
        <f aca="true" t="shared" si="9" ref="AD12:AD24">IF($AD$26=0,0,IF(AE12&gt;=$AC12,0,-PMT($H12/12,($E12-$AC$29)*12,0,($AC12-AE12))/$D$4))</f>
        <v>0</v>
      </c>
      <c r="AE12" s="291">
        <f>IF(AE13&gt;$AC13,(-FV($H12,($E12-$E13),0,(AE13-$AC13)))+-FV($H12/12,($E12-$E13)*12,SUM(AD13:AD$26)*$D$4,0),-FV($H12/12,($E12-$E13)*12,SUM(AD13:AD$26)*$D$4,0))</f>
        <v>0</v>
      </c>
      <c r="AF12" s="298">
        <f aca="true" t="shared" si="10" ref="AF12:AF24">IF(D12=0,0,P12)</f>
        <v>0</v>
      </c>
      <c r="AG12" s="299">
        <f aca="true" t="shared" si="11" ref="AG12:AG23">IF($AG$25=0,0,IF(AH12&gt;=$AF12,0,-PMT($H12/12,($E12-$AF$28)*12,0,($AF12-AH12))/$D$4))</f>
        <v>0</v>
      </c>
      <c r="AH12" s="300">
        <f>IF(AH13&gt;$AF13,(-FV($H12,($E12-$E13),0,(AH13-$AF13)))+-FV($H12/12,($E12-$E13)*12,SUM(AG13:AG$25)*$D$4,0),-FV($H12/12,($E12-$E13)*12,SUM(AG13:AG$25)*$D$4,0))</f>
        <v>0</v>
      </c>
      <c r="AI12" s="301">
        <f aca="true" t="shared" si="12" ref="AI12:AI23">IF(D12=0,0,P12)</f>
        <v>0</v>
      </c>
      <c r="AJ12" s="293">
        <f aca="true" t="shared" si="13" ref="AJ12:AJ22">IF($AJ$24=0,0,IF(AK12&gt;=$AI12,0,-PMT($H12/12,($E12-$AI$27)*12,0,($AI12-AK12))/$D$4))</f>
        <v>0</v>
      </c>
      <c r="AK12" s="294">
        <f>IF(AK13&gt;$AI13,(-FV($H12,($E12-$E13),0,(AK13-$AI13)))+-FV($H12/12,($E12-$E13)*12,SUM(AJ13:AJ$24)*$D$4,0),-FV($H12/12,($E12-$E13)*12,SUM(AJ13:AJ$24)*$D$4,0))</f>
        <v>0</v>
      </c>
      <c r="AL12" s="298">
        <f aca="true" t="shared" si="14" ref="AL12:AL18">IF(D12=0,0,P12)</f>
        <v>0</v>
      </c>
      <c r="AM12" s="299">
        <f aca="true" t="shared" si="15" ref="AM12:AM21">IF($AM$23=0,0,IF(AN12&gt;=$AL12,0,-PMT($H12/12,($E12-$AL$26)*12,0,($AL12-AN12))/$D$4))</f>
        <v>0</v>
      </c>
      <c r="AN12" s="302">
        <f>IF(AN13&gt;$AL13,(-FV($H12,($E12-$E13),0,(AN13-$AL13)))+-FV($H12/12,($E12-$E13)*12,SUM(AM13:AM$23)*$D$4,0),-FV($H12/12,($E12-$E13)*12,SUM(AM13:AM$23)*$D$4,0))</f>
        <v>0</v>
      </c>
      <c r="AO12" s="301">
        <f aca="true" t="shared" si="16" ref="AO12:AO18">IF(D12=0,0,P12)</f>
        <v>0</v>
      </c>
      <c r="AP12" s="293">
        <f aca="true" t="shared" si="17" ref="AP12:AP20">IF($AP$22=0,0,IF(AQ12&gt;=$AO12,0,-PMT($H12/12,($E12-$AO$25)*12,0,($AO12-AQ12))/$D$4))</f>
        <v>0</v>
      </c>
      <c r="AQ12" s="294">
        <f>IF(AQ13&gt;$AO13,(-FV($H12,($E12-$E13),0,(AQ13-$AO13)))+-FV($H12/12,($E12-$E13)*12,SUM(AP13:AP$22)*$D$4,0),-FV($H12/12,($E12-$E13)*12,SUM(AP13:AP$22)*$D$4,0))</f>
        <v>0</v>
      </c>
      <c r="AR12" s="329">
        <f aca="true" t="shared" si="18" ref="AR12:AR18">IF(D12=0,0,P12)</f>
        <v>0</v>
      </c>
      <c r="AS12" s="299">
        <f aca="true" t="shared" si="19" ref="AS12:AS19">IF($AS$21=0,0,IF(AT12&gt;=$AR12,0,-PMT($H12/12,($E12-$AR$24)*12,0,($AR12-AT12))/$D$4))</f>
        <v>0</v>
      </c>
      <c r="AT12" s="300">
        <f>IF(AT13&gt;$AR13,(-FV($H12,($E12-$E13),0,(AT13-$AR13)))+-FV($H12/12,($E12-$E13)*12,SUM(AS13:AS$21)*$D$4,0),-FV($H12/12,($E12-$E13)*12,SUM(AS13:AS$21)*$D$4,0))</f>
        <v>0</v>
      </c>
      <c r="AU12" s="301">
        <f aca="true" t="shared" si="20" ref="AU12:AU18">IF(D12=0,0,P12)</f>
        <v>0</v>
      </c>
      <c r="AV12" s="293">
        <f aca="true" t="shared" si="21" ref="AV12:AV18">IF($AV$20=0,0,IF(AW12&gt;=$AU12,0,-PMT($H12/12,($E12-$AU$23)*12,0,($AU12-AW12))/$D$4))</f>
        <v>0</v>
      </c>
      <c r="AW12" s="294">
        <f>IF(AW13&gt;$AU13,(-FV($H12,($E12-$E13),0,(AW13-$AU13)))+-FV($H12/12,($E12-$E13)*12,SUM(AV13:AV$20)*$D$4,0),-FV($H12/12,($E12-$E13)*12,SUM(AV13:AV$20)*$D$4,0))</f>
        <v>0</v>
      </c>
      <c r="AX12" s="298">
        <f aca="true" t="shared" si="22" ref="AX12:AX18">IF(D12=0,0,P12)</f>
        <v>0</v>
      </c>
      <c r="AY12" s="299">
        <f aca="true" t="shared" si="23" ref="AY12:AY17">IF($AY$19=0,0,IF(AZ12&gt;=$AX12,0,-PMT($H12/12,($E12-$AX$22)*12,0,($AX12-AZ12))/$D$4))</f>
        <v>0</v>
      </c>
      <c r="AZ12" s="302">
        <f>IF(AZ13&gt;$AX13,(-FV($H12,($E12-$E13),0,(AZ13-$AX13)))+-FV($H12/12,($E12-$E13)*12,SUM(AY13:AY$19)*$D$4,0),-FV($H12/12,($E12-$E13)*12,SUM(AY13:AY$19)*$D$4,0))</f>
        <v>0</v>
      </c>
      <c r="BA12" s="301">
        <f aca="true" t="shared" si="24" ref="BA12:BA17">IF(D12=0,0,P12)</f>
        <v>0</v>
      </c>
      <c r="BB12" s="293">
        <f aca="true" t="shared" si="25" ref="BB12:BB17">IF($BB$18=0,0,IF($BC12&gt;=$BA12,0,-PMT($H12/12,($E12-$BA$22)*12,0,($BA12-$BC12))/$D$4))</f>
        <v>0</v>
      </c>
      <c r="BC12" s="294">
        <f>IF(BC13&gt;$BA13,(-FV($H12,($E12-$E13),0,(BC13-$BA13)))+-FV($H12/12,($E12-$E13)*12,SUM(BB13:BB$18)*$D$4,0),-FV($H12/12,($E12-$E13)*12,SUM(BB13:BB$18)*$D$4,0))</f>
        <v>0</v>
      </c>
      <c r="BD12" s="298">
        <f aca="true" t="shared" si="26" ref="BD12:BD17">IF(D12=0,0,P12)</f>
        <v>0</v>
      </c>
      <c r="BE12" s="299">
        <f>IF($BE$17=0,0,IF($BF12&gt;=$BD12,0,-PMT($H12/12,($E12-$BD$21)*12,0,($BD12-$BF12))/$D$4))</f>
        <v>0</v>
      </c>
      <c r="BF12" s="302">
        <f>IF(BF13&gt;$BD13,(-FV($H12,($E12-$E13),0,(BF13-$BD13)))+-FV($H12/12,($E12-$E13)*12,SUM(BE13:BE$17)*$D$4,0),-FV($H12/12,($E12-$E13)*12,SUM(BE13:BE$17)*$D$4,0))</f>
        <v>0</v>
      </c>
      <c r="BG12" s="301">
        <f>IF(D12=0,0,P12)</f>
        <v>0</v>
      </c>
      <c r="BH12" s="293">
        <f>IF($BH$16=0,0,IF(BI12&gt;=$BG12,0,-PMT($H12/12,($E12-$BG$20)*12,0,($BG12-BI12))/$D$4))</f>
        <v>0</v>
      </c>
      <c r="BI12" s="294">
        <f>IF(BI13&gt;$BG13,(-FV($H12,($E12-$E13),0,(BI13-$BG13)))+-FV($H12/12,($E12-$E13)*12,SUM(BH13:BH$16)*$D$4,0),-FV($H12/12,($E12-$E13)*12,SUM(BH13:BH$16)*$D$4,0))</f>
        <v>0</v>
      </c>
      <c r="BJ12" s="298">
        <f>IF(D12=0,0,P12)</f>
        <v>0</v>
      </c>
      <c r="BK12" s="299">
        <f>IF($BK$15=0,0,IF(BL12&gt;=$BJ12,0,-PMT($H12/12,($E12-$BJ$19)*12,0,($BJ12-BL12))/$D$4))</f>
        <v>0</v>
      </c>
      <c r="BL12" s="302">
        <f>IF(BL13&gt;$BJ13,(-FV($H12,($E12-$E13),0,(BL13-$BJ13)))+-FV($H12/12,($E12-$E13)*12,SUM(BK13:BK$15)*$D$4,0),-FV($H12/12,($E12-$E13)*12,SUM(BK13:BK$15)*$D$4,0))</f>
        <v>0</v>
      </c>
      <c r="BM12" s="301">
        <f>IF(D12=0,0,P12)</f>
        <v>0</v>
      </c>
      <c r="BN12" s="293">
        <f>IF($BN$14=0,0,IF(BO12&gt;=$BM12,0,-PMT($H12/12,($E12-$BM$18)*12,0,($BM12-BO12))/$D$4))</f>
        <v>0</v>
      </c>
      <c r="BO12" s="294">
        <f>IF(BO13&gt;$BM13,(-FV($H12,($E12-$E13),0,(BO13-$BM13)))+-FV($H12/12,($E12-$E13)*12,SUM(BN13:BN$14)*$D$4,0),-FV($H12/12,($E12-$E13)*12,SUM(BN13:BN$14)*$D$4,0))</f>
        <v>0</v>
      </c>
      <c r="BP12" s="11">
        <f>IF(D12=0,0,P12)</f>
        <v>0</v>
      </c>
      <c r="BQ12" s="303">
        <f>IF($BQ$13=0,0,IF(BR12&gt;BP12,0,-PMT($H12/12,($E12-$BP$17)*12,0,(BP12-BR12)/$D$4)))</f>
        <v>0</v>
      </c>
      <c r="BR12" s="304">
        <f>IF(BR13&gt;$BP13,(-FV($H12,($E12-$E13),0,(BR13-$BP13)))+-FV($H12/12,($E12-$E13)*12,(BQ13)*$D$4,0),-FV($H12/12,($E12-$E13)*12,(BQ13)*$D$4,0))</f>
        <v>0</v>
      </c>
      <c r="BS12" s="462">
        <f>IF(D12=0,0,P12)</f>
        <v>0</v>
      </c>
      <c r="BT12" s="463">
        <f>CEILING(BT11,0.01)</f>
        <v>0</v>
      </c>
      <c r="BU12" s="464"/>
      <c r="BV12" s="464"/>
      <c r="BW12" s="465"/>
      <c r="BX12" s="465"/>
      <c r="BY12" s="360"/>
      <c r="BZ12" s="360"/>
      <c r="CA12" s="360"/>
    </row>
    <row r="13" spans="2:79" s="7" customFormat="1" ht="13.5" customHeight="1" thickBot="1">
      <c r="B13" s="12">
        <v>2</v>
      </c>
      <c r="C13" s="499"/>
      <c r="D13" s="399"/>
      <c r="E13" s="400"/>
      <c r="F13" s="401"/>
      <c r="G13" s="327">
        <f t="shared" si="0"/>
      </c>
      <c r="H13" s="395"/>
      <c r="I13" s="281"/>
      <c r="J13" s="141">
        <f>IF(K13&gt;=P13,0,-PMT(H13/12,(E13)*12,0,(P13-K13))/$D$4)</f>
        <v>0</v>
      </c>
      <c r="K13" s="142">
        <f>IF(K14&gt;P14,(-FV(H13,(E13-E14),0,(K14-P14)))+-FV(H13/12,(E13-E14)*12,SUM(J14:$J$31)*$D$4,0),-FV(H13/12,(N13-N14)*12,SUM(J14:$J$31)*$D$4,0))</f>
        <v>0</v>
      </c>
      <c r="L13" s="11"/>
      <c r="M13" s="318"/>
      <c r="N13" s="326">
        <f aca="true" t="shared" si="27" ref="N13:N29">IF(D13&gt;0,E13,N14)</f>
        <v>0</v>
      </c>
      <c r="O13" s="117" t="str">
        <f>IF(AND($BU$31=1,D13&gt;0,E13=$E$31),$E$31,IF(D13=0,O14,IF(AND(NOT(E13=$E$12),NOT($D$7=""),SUM($D$12:D12)&gt;0,BU13&gt;0),E13,"L")))</f>
        <v>L</v>
      </c>
      <c r="P13" s="13">
        <f>IF(D13=0,0,G13)</f>
        <v>0</v>
      </c>
      <c r="Q13" s="289">
        <f t="shared" si="1"/>
        <v>0</v>
      </c>
      <c r="R13" s="290">
        <f t="shared" si="2"/>
        <v>0</v>
      </c>
      <c r="S13" s="291">
        <f>IF(S14&gt;Q14,(-FV(H13,(E13-E14),0,(S14-Q14)))+-FV(H13/12,(E13-E14)*12,SUM(R14:$R$30)*$D$4,0),-FV(H13/12,(E13-E14)*12,SUM(R14:$R$30)*$D$4,0))</f>
        <v>0</v>
      </c>
      <c r="T13" s="343">
        <f t="shared" si="3"/>
        <v>0</v>
      </c>
      <c r="U13" s="299">
        <f t="shared" si="4"/>
        <v>0</v>
      </c>
      <c r="V13" s="302">
        <f>IF(V14&gt;$T14,(-FV($H13,($E13-$E14),0,(V14-$T14)))+-FV($H13/12,($E13-$E14)*12,SUM(U14:$U$29)*$D$4,0),-FV($H13/12,($E13-$E14)*12,SUM(U14:$U$29)*$D$4,0))</f>
        <v>0</v>
      </c>
      <c r="W13" s="393">
        <f t="shared" si="5"/>
        <v>0</v>
      </c>
      <c r="X13" s="293">
        <f t="shared" si="6"/>
        <v>0</v>
      </c>
      <c r="Y13" s="294">
        <f>IF(Y14&gt;$W14,(-FV($H13,($E13-$E14),0,(Y14-$W14)))+-FV($H13/12,($E13-$E14)*12,SUM(X14:$X$28)*$D$4,0),-FV($H13/12,($E13-$E14)*12,SUM(X14:$X$28)*$D$4,0))</f>
        <v>0</v>
      </c>
      <c r="Z13" s="420">
        <f t="shared" si="7"/>
        <v>0</v>
      </c>
      <c r="AA13" s="299">
        <f aca="true" t="shared" si="28" ref="AA13:AA26">IF($AA$27=0,0,IF(AB13&gt;=$Z13,0,-PMT($H13/12,($E13-$Z$28)*12,0,($Z13-AB13))/$D$4))</f>
        <v>0</v>
      </c>
      <c r="AB13" s="300">
        <f>IF(AB14&gt;$Z14,(-FV($H13,($E13-$E14),0,(AB14-$Z14)))+-FV($H13/12,($E13-$E14)*12,SUM(AA14:$AA$27)*$D$4,0),-FV($H13/12,($E13-$E14)*12,SUM(AA14:$AA$27)*$D$4,0))</f>
        <v>0</v>
      </c>
      <c r="AC13" s="297">
        <f t="shared" si="8"/>
        <v>0</v>
      </c>
      <c r="AD13" s="290">
        <f t="shared" si="9"/>
        <v>0</v>
      </c>
      <c r="AE13" s="291">
        <f>IF(AE14&gt;$AC14,(-FV($H13,($E13-$E14),0,(AE14-$AC14)))+-FV($H13/12,($E13-$E14)*12,SUM(AD14:AD$26)*$D$4,0),-FV($H13/12,($E13-$E14)*12,SUM(AD14:AD$26)*$D$4,0))</f>
        <v>0</v>
      </c>
      <c r="AF13" s="298">
        <f t="shared" si="10"/>
        <v>0</v>
      </c>
      <c r="AG13" s="299">
        <f t="shared" si="11"/>
        <v>0</v>
      </c>
      <c r="AH13" s="300">
        <f>IF(AH14&gt;$AF14,(-FV($H13,($E13-$E14),0,(AH14-$AF14)))+-FV($H13/12,($E13-$E14)*12,SUM(AG14:AG$25)*$D$4,0),-FV($H13/12,($E13-$E14)*12,SUM(AG14:AG$25)*$D$4,0))</f>
        <v>0</v>
      </c>
      <c r="AI13" s="301">
        <f t="shared" si="12"/>
        <v>0</v>
      </c>
      <c r="AJ13" s="293">
        <f t="shared" si="13"/>
        <v>0</v>
      </c>
      <c r="AK13" s="294">
        <f>IF(AK14&gt;$AI14,(-FV($H13,($E13-$E14),0,(AK14-$AI14)))+-FV($H13/12,($E13-$E14)*12,SUM(AJ14:AJ$24)*$D$4,0),-FV($H13/12,($E13-$E14)*12,SUM(AJ14:AJ$24)*$D$4,0))</f>
        <v>0</v>
      </c>
      <c r="AL13" s="298">
        <f t="shared" si="14"/>
        <v>0</v>
      </c>
      <c r="AM13" s="299">
        <f t="shared" si="15"/>
        <v>0</v>
      </c>
      <c r="AN13" s="302">
        <f>IF(AN14&gt;$AL14,(-FV($H13,($E13-$E14),0,(AN14-$AL14)))+-FV($H13/12,($E13-$E14)*12,SUM(AM14:AM$23)*$D$4,0),-FV($H13/12,($E13-$E14)*12,SUM(AM14:AM$23)*$D$4,0))</f>
        <v>0</v>
      </c>
      <c r="AO13" s="301">
        <f t="shared" si="16"/>
        <v>0</v>
      </c>
      <c r="AP13" s="293">
        <f t="shared" si="17"/>
        <v>0</v>
      </c>
      <c r="AQ13" s="294">
        <f>IF(AQ14&gt;$AO14,(-FV($H13,($E13-$E14),0,(AQ14-$AO14)))+-FV($H13/12,($E13-$E14)*12,SUM(AP14:AP$22)*$D$4,0),-FV($H13/12,($E13-$E14)*12,SUM(AP14:AP$22)*$D$4,0))</f>
        <v>0</v>
      </c>
      <c r="AR13" s="329">
        <f t="shared" si="18"/>
        <v>0</v>
      </c>
      <c r="AS13" s="299">
        <f t="shared" si="19"/>
        <v>0</v>
      </c>
      <c r="AT13" s="300">
        <f>IF(AT14&gt;$AR14,(-FV($H13,($E13-$E14),0,(AT14-$AR14)))+-FV($H13/12,($E13-$E14)*12,SUM(AS14:AS$21)*$D$4,0),-FV($H13/12,($E13-$E14)*12,SUM(AS14:AS$21)*$D$4,0))</f>
        <v>0</v>
      </c>
      <c r="AU13" s="301">
        <f t="shared" si="20"/>
        <v>0</v>
      </c>
      <c r="AV13" s="293">
        <f t="shared" si="21"/>
        <v>0</v>
      </c>
      <c r="AW13" s="294">
        <f>IF(AW14&gt;$AU14,(-FV($H13,($E13-$E14),0,(AW14-$AU14)))+-FV($H13/12,($E13-$E14)*12,SUM(AV14:AV$20)*$D$4,0),-FV($H13/12,($E13-$E14)*12,SUM(AV14:AV$20)*$D$4,0))</f>
        <v>0</v>
      </c>
      <c r="AX13" s="298">
        <f t="shared" si="22"/>
        <v>0</v>
      </c>
      <c r="AY13" s="299">
        <f t="shared" si="23"/>
        <v>0</v>
      </c>
      <c r="AZ13" s="302">
        <f>IF(AZ14&gt;$AX14,(-FV($H13,($E13-$E14),0,(AZ14-$AX14)))+-FV($H13/12,($E13-$E14)*12,SUM(AY14:AY$19)*$D$4,0),-FV($H13/12,($E13-$E14)*12,SUM(AY14:AY$19)*$D$4,0))</f>
        <v>0</v>
      </c>
      <c r="BA13" s="301">
        <f t="shared" si="24"/>
        <v>0</v>
      </c>
      <c r="BB13" s="293">
        <f t="shared" si="25"/>
        <v>0</v>
      </c>
      <c r="BC13" s="294">
        <f>IF(BC14&gt;$BA14,(-FV($H13,($E13-$E14),0,(BC14-$BA14)))+-FV($H13/12,($E13-$E14)*12,SUM(BB14:BB$18)*$D$4,0),-FV($H13/12,($E13-$E14)*12,SUM(BB14:BB$18)*$D$4,0))</f>
        <v>0</v>
      </c>
      <c r="BD13" s="298">
        <f t="shared" si="26"/>
        <v>0</v>
      </c>
      <c r="BE13" s="299">
        <f>IF($BE$17=0,0,IF($BF13&gt;=$BD13,0,-PMT($H13/12,($E13-$BD$21)*12,0,($BD13-$BF13))/$D$4))</f>
        <v>0</v>
      </c>
      <c r="BF13" s="302">
        <f>IF(BF14&gt;$BD14,(-FV($H13,($E13-$E14),0,(BF14-$BD14)))+-FV($H13/12,($E13-$E14)*12,SUM(BE14:BE$17)*$D$4,0),-FV($H13/12,($E13-$E14)*12,SUM(BE14:BE$17)*$D$4,0))</f>
        <v>0</v>
      </c>
      <c r="BG13" s="301">
        <f>IF(D13=0,0,P13)</f>
        <v>0</v>
      </c>
      <c r="BH13" s="293">
        <f>IF($BH$16=0,0,IF(BI13&gt;=$BG13,0,-PMT($H13/12,($E13-$BG$20)*12,0,($BG13-BI13))/$D$4))</f>
        <v>0</v>
      </c>
      <c r="BI13" s="294">
        <f>IF(BI14&gt;$BG14,(-FV($H13,($E13-$E14),0,(BI14-$BG14)))+-FV($H13/12,($E13-$E14)*12,SUM(BH14:BH$16)*$D$4,0),-FV($H13/12,($E13-$E14)*12,SUM(BH14:BH$16)*$D$4,0))</f>
        <v>0</v>
      </c>
      <c r="BJ13" s="298">
        <f>IF(D13=0,0,P13)</f>
        <v>0</v>
      </c>
      <c r="BK13" s="299">
        <f>IF($BK$15=0,0,IF(BL13&gt;=$BJ13,0,-PMT($H13/12,($E13-$BJ$19)*12,0,($BJ13-BL13))/$D$4))</f>
        <v>0</v>
      </c>
      <c r="BL13" s="302">
        <f>IF(BL14&gt;$BJ14,(-FV($H13,($E13-$E14),0,(BL14-$BJ14)))+-FV($H13/12,($E13-$E14)*12,SUM(BK14:BK$15)*$D$4,0),-FV($H13/12,($E13-$E14)*12,SUM(BK14:BK$15)*$D$4,0))</f>
        <v>0</v>
      </c>
      <c r="BM13" s="301">
        <f>IF(D13=0,0,P13)</f>
        <v>0</v>
      </c>
      <c r="BN13" s="293">
        <f>IF($BN$14=0,0,IF(BO13&gt;=$BM13,0,-PMT($H13/12,($E13-$BM$18)*12,0,($BM13-BO13))/$D$4))</f>
        <v>0</v>
      </c>
      <c r="BO13" s="294">
        <f>IF(BO14&gt;$BM14,(-FV($H13,($E13-$E14),0,(BO14-$BM14)))+-FV($H13/12,($E13-$E14)*12,(BN14)*$D$4,0),-FV($H13/12,($E13-$E14)*12,(BN14)*$D$4,0))</f>
        <v>0</v>
      </c>
      <c r="BP13" s="11">
        <f>IF(D13=0,0,P13)</f>
        <v>0</v>
      </c>
      <c r="BQ13" s="303">
        <f>IF(BP17=E13,0,-PMT($H13/12,($E13-$BP$17)*12,0,BP13/$D$4))</f>
        <v>0</v>
      </c>
      <c r="BR13" s="305"/>
      <c r="BS13" s="466">
        <f>IF(D13&gt;0,E13,IF(D14&gt;0,E14,IF(D15&gt;0,E15,IF(D16&gt;0,E16,IF(D17&gt;0,E17,IF(D18&gt;0,E18,IF(D19&gt;0,E19,IF(D20&gt;0,E20,0))))))))</f>
        <v>0</v>
      </c>
      <c r="BT13" s="467"/>
      <c r="BU13" s="467">
        <f>IF(SUM(BW14:$BW$31)=0,BX13,0)</f>
        <v>0</v>
      </c>
      <c r="BV13" s="467"/>
      <c r="BW13" s="465">
        <f>IF(AND(NOT(O14="L"),BQ$12&gt;0),1,0)</f>
        <v>0</v>
      </c>
      <c r="BX13" s="465">
        <f>IF(AND(SUM(BY13:CA13)&gt;0,SUM($J$12:J12)=0),1,0)</f>
        <v>0</v>
      </c>
      <c r="BY13" s="360">
        <f>IF(AND(R13&gt;0,SUM($R$12:R12)=0),1,IF(AND(U13&gt;0,SUM($U$12:U12)=0),1,IF(AND(X13&gt;0,SUM($X$12:X12)=0),1,IF(AND(AA13&gt;0,SUM($AA$12:AA12)=0),1,IF(AND(AD13&gt;0,SUM($AD$12:AD12)=0),1,IF(AND($AG13&gt;0,SUM($AG$12:AG12)=0),1,0))))))</f>
        <v>0</v>
      </c>
      <c r="BZ13" s="360">
        <f>IF(AND(AJ13&gt;0,SUM($AJ$12:AJ12)=0),1,IF(AND(AM13&gt;0,SUM($AM$12:AM12)=0),1,IF(AND(AP13&gt;0,SUM($AP$12:AP12)=0),1,IF(AND(AS13&gt;0,SUM($AS$12:AS12)=0),1,IF(AND(AV13&gt;0,SUM($AV$12:AV12)=0),1,IF(AND($AY13&gt;0,SUM($AY$12:AY12)=0),1,0))))))</f>
        <v>0</v>
      </c>
      <c r="CA13" s="360">
        <f>IF(AND(BB13&gt;0,SUM($BB$12:BB12)=0),1,IF(AND(BE13&gt;0,SUM($BE$12:BE12)=0),1,IF(AND(BH13&gt;0,SUM($BH$12:BH12)=0),1,IF(AND(BK13&gt;0,SUM($BK$12:BK12)=0),1,IF(AND(BN13&gt;0,SUM($BN$12:BN12)=0),1,IF(AND(BQ13&gt;0,SUM($BQ$12:BQ12)=0),1,0))))))</f>
        <v>0</v>
      </c>
    </row>
    <row r="14" spans="2:79" s="7" customFormat="1" ht="13.5" customHeight="1" thickBot="1">
      <c r="B14" s="12">
        <v>3</v>
      </c>
      <c r="C14" s="499"/>
      <c r="D14" s="399"/>
      <c r="E14" s="400"/>
      <c r="F14" s="401"/>
      <c r="G14" s="327">
        <f t="shared" si="0"/>
      </c>
      <c r="H14" s="395"/>
      <c r="I14" s="281"/>
      <c r="J14" s="141">
        <f>IF(K14&gt;=P14,0,-PMT(H14/12,(E14)*12,0,(P14-K14))/$D$4)</f>
        <v>0</v>
      </c>
      <c r="K14" s="142">
        <f>IF(K15&gt;P15,(-FV(H14,(E14-E15),0,(K15-P15)))+-FV(H14/12,(E14-E15)*12,SUM(J15:$J$31)*$D$4,0),-FV(H14/12,(N14-N15)*12,SUM(J15:$J$31)*$D$4,0))</f>
        <v>0</v>
      </c>
      <c r="L14" s="11"/>
      <c r="M14" s="318"/>
      <c r="N14" s="326">
        <f t="shared" si="27"/>
        <v>0</v>
      </c>
      <c r="O14" s="117" t="str">
        <f>IF(AND($BU$31=1,D14&gt;0,E14=$E$31),$E$31,IF(D14=0,O15,IF(AND(NOT(E14=$E$12),NOT($D$7=""),SUM($D$12:D13)&gt;0,BU14&gt;0),E14,"L")))</f>
        <v>L</v>
      </c>
      <c r="P14" s="13">
        <f>IF(D14=0,0,G14)</f>
        <v>0</v>
      </c>
      <c r="Q14" s="289">
        <f t="shared" si="1"/>
        <v>0</v>
      </c>
      <c r="R14" s="290">
        <f t="shared" si="2"/>
        <v>0</v>
      </c>
      <c r="S14" s="291">
        <f>IF(S15&gt;Q15,(-FV(H14,(E14-E15),0,(S15-Q15)))+-FV(H14/12,(E14-E15)*12,SUM(R15:$R$30)*$D$4,0),-FV(H14/12,(E14-E15)*12,SUM(R15:$R$30)*$D$4,0))</f>
        <v>0</v>
      </c>
      <c r="T14" s="343">
        <f t="shared" si="3"/>
        <v>0</v>
      </c>
      <c r="U14" s="299">
        <f t="shared" si="4"/>
        <v>0</v>
      </c>
      <c r="V14" s="302">
        <f>IF(V15&gt;$T15,(-FV($H14,($E14-$E15),0,(V15-$T15)))+-FV($H14/12,($E14-$E15)*12,SUM(U15:$U$29)*$D$4,0),-FV($H14/12,($E14-$E15)*12,SUM(U15:$U$29)*$D$4,0))</f>
        <v>0</v>
      </c>
      <c r="W14" s="393">
        <f t="shared" si="5"/>
        <v>0</v>
      </c>
      <c r="X14" s="293">
        <f t="shared" si="6"/>
        <v>0</v>
      </c>
      <c r="Y14" s="294">
        <f>IF(Y15&gt;$W15,(-FV($H14,($E14-$E15),0,(Y15-$W15)))+-FV($H14/12,($E14-$E15)*12,SUM(X15:$X$28)*$D$4,0),-FV($H14/12,($E14-$E15)*12,SUM(X15:$X$28)*$D$4,0))</f>
        <v>0</v>
      </c>
      <c r="Z14" s="420">
        <f t="shared" si="7"/>
        <v>0</v>
      </c>
      <c r="AA14" s="299">
        <f t="shared" si="28"/>
        <v>0</v>
      </c>
      <c r="AB14" s="300">
        <f>IF(AB15&gt;$Z15,(-FV($H14,($E14-$E15),0,(AB15-$Z15)))+-FV($H14/12,($E14-$E15)*12,SUM(AA15:$AA$27)*$D$4,0),-FV($H14/12,($E14-$E15)*12,SUM(AA15:$AA$27)*$D$4,0))</f>
        <v>0</v>
      </c>
      <c r="AC14" s="297">
        <f t="shared" si="8"/>
        <v>0</v>
      </c>
      <c r="AD14" s="290">
        <f t="shared" si="9"/>
        <v>0</v>
      </c>
      <c r="AE14" s="291">
        <f>IF(AE15&gt;$AC15,(-FV($H14,($E14-$E15),0,(AE15-$AC15)))+-FV($H14/12,($E14-$E15)*12,SUM(AD15:AD$26)*$D$4,0),-FV($H14/12,($E14-$E15)*12,SUM(AD15:AD$26)*$D$4,0))</f>
        <v>0</v>
      </c>
      <c r="AF14" s="298">
        <f t="shared" si="10"/>
        <v>0</v>
      </c>
      <c r="AG14" s="299">
        <f t="shared" si="11"/>
        <v>0</v>
      </c>
      <c r="AH14" s="300">
        <f>IF(AH15&gt;$AF15,(-FV($H14,($E14-$E15),0,(AH15-$AF15)))+-FV($H14/12,($E14-$E15)*12,SUM(AG15:AG$25)*$D$4,0),-FV($H14/12,($E14-$E15)*12,SUM(AG15:AG$25)*$D$4,0))</f>
        <v>0</v>
      </c>
      <c r="AI14" s="301">
        <f t="shared" si="12"/>
        <v>0</v>
      </c>
      <c r="AJ14" s="293">
        <f t="shared" si="13"/>
        <v>0</v>
      </c>
      <c r="AK14" s="294">
        <f>IF(AK15&gt;$AI15,(-FV($H14,($E14-$E15),0,(AK15-$AI15)))+-FV($H14/12,($E14-$E15)*12,SUM(AJ15:AJ$24)*$D$4,0),-FV($H14/12,($E14-$E15)*12,SUM(AJ15:AJ$24)*$D$4,0))</f>
        <v>0</v>
      </c>
      <c r="AL14" s="298">
        <f t="shared" si="14"/>
        <v>0</v>
      </c>
      <c r="AM14" s="299">
        <f t="shared" si="15"/>
        <v>0</v>
      </c>
      <c r="AN14" s="302">
        <f>IF(AN15&gt;$AL15,(-FV($H14,($E14-$E15),0,(AN15-$AL15)))+-FV($H14/12,($E14-$E15)*12,SUM(AM15:AM$23)*$D$4,0),-FV($H14/12,($E14-$E15)*12,SUM(AM15:AM$23)*$D$4,0))</f>
        <v>0</v>
      </c>
      <c r="AO14" s="301">
        <f t="shared" si="16"/>
        <v>0</v>
      </c>
      <c r="AP14" s="293">
        <f t="shared" si="17"/>
        <v>0</v>
      </c>
      <c r="AQ14" s="294">
        <f>IF(AQ15&gt;$AO15,(-FV($H14,($E14-$E15),0,(AQ15-$AO15)))+-FV($H14/12,($E14-$E15)*12,SUM(AP15:AP$22)*$D$4,0),-FV($H14/12,($E14-$E15)*12,SUM(AP15:AP$22)*$D$4,0))</f>
        <v>0</v>
      </c>
      <c r="AR14" s="329">
        <f t="shared" si="18"/>
        <v>0</v>
      </c>
      <c r="AS14" s="299">
        <f t="shared" si="19"/>
        <v>0</v>
      </c>
      <c r="AT14" s="300">
        <f>IF(AT15&gt;$AR15,(-FV($H14,($E14-$E15),0,(AT15-$AR15)))+-FV($H14/12,($E14-$E15)*12,SUM(AS15:AS$21)*$D$4,0),-FV($H14/12,($E14-$E15)*12,SUM(AS15:AS$21)*$D$4,0))</f>
        <v>0</v>
      </c>
      <c r="AU14" s="301">
        <f t="shared" si="20"/>
        <v>0</v>
      </c>
      <c r="AV14" s="293">
        <f t="shared" si="21"/>
        <v>0</v>
      </c>
      <c r="AW14" s="294">
        <f>IF(AW15&gt;$AU15,(-FV($H14,($E14-$E15),0,(AW15-$AU15)))+-FV($H14/12,($E14-$E15)*12,SUM(AV15:AV$20)*$D$4,0),-FV($H14/12,($E14-$E15)*12,SUM(AV15:AV$20)*$D$4,0))</f>
        <v>0</v>
      </c>
      <c r="AX14" s="298">
        <f t="shared" si="22"/>
        <v>0</v>
      </c>
      <c r="AY14" s="299">
        <f t="shared" si="23"/>
        <v>0</v>
      </c>
      <c r="AZ14" s="302">
        <f>IF(AZ15&gt;$AX15,(-FV($H14,($E14-$E15),0,(AZ15-$AX15)))+-FV($H14/12,($E14-$E15)*12,SUM(AY15:AY$19)*$D$4,0),-FV($H14/12,($E14-$E15)*12,SUM(AY15:AY$19)*$D$4,0))</f>
        <v>0</v>
      </c>
      <c r="BA14" s="301">
        <f t="shared" si="24"/>
        <v>0</v>
      </c>
      <c r="BB14" s="293">
        <f t="shared" si="25"/>
        <v>0</v>
      </c>
      <c r="BC14" s="294">
        <f>IF(BC15&gt;$BA15,(-FV($H14,($E14-$E15),0,(BC15-$BA15)))+-FV($H14/12,($E14-$E15)*12,SUM(BB15:BB$18)*$D$4,0),-FV($H14/12,($E14-$E15)*12,SUM(BB15:BB$18)*$D$4,0))</f>
        <v>0</v>
      </c>
      <c r="BD14" s="298">
        <f t="shared" si="26"/>
        <v>0</v>
      </c>
      <c r="BE14" s="299">
        <f>IF($BE$17=0,0,IF($BF14&gt;=$BD14,0,-PMT($H14/12,($E14-$BD$21)*12,0,($BD14-$BF14))/$D$4))</f>
        <v>0</v>
      </c>
      <c r="BF14" s="302">
        <f>IF(BF15&gt;$BD15,(-FV($H14,($E14-$E15),0,(BF15-$BD15)))+-FV($H14/12,($E14-$E15)*12,SUM(BE15:BE$17)*$D$4,0),-FV($H14/12,($E14-$E15)*12,SUM(BE15:BE$17)*$D$4,0))</f>
        <v>0</v>
      </c>
      <c r="BG14" s="301">
        <f>IF(D14=0,0,P14)</f>
        <v>0</v>
      </c>
      <c r="BH14" s="293">
        <f>IF($BH$16=0,0,IF(BI14&gt;=$BG14,0,-PMT($H14/12,($E14-$BG$20)*12,0,($BG14-BI14))/$D$4))</f>
        <v>0</v>
      </c>
      <c r="BI14" s="294">
        <f>IF(BI15&gt;$BG15,(-FV($H14,($E14-$E15),0,(BI15-$BG15)))+-FV($H14/12,($E14-$E15)*12,SUM(BH15:BH$16)*$D$4,0),-FV($H14/12,($E14-$E15)*12,SUM(BH15:BH$16)*$D$4,0))</f>
        <v>0</v>
      </c>
      <c r="BJ14" s="298">
        <f>IF(D14=0,0,P14)</f>
        <v>0</v>
      </c>
      <c r="BK14" s="299">
        <f>IF($BK$15=0,0,IF(BL14&gt;=$BJ14,0,-PMT($H14/12,($E14-$BJ$19)*12,0,($BJ14-BL14))/$D$4))</f>
        <v>0</v>
      </c>
      <c r="BL14" s="302">
        <f>IF(BL15&gt;$BJ15,(-FV($H14,($E14-$E15),0,(BL15-$BJ15)))+-FV($H14/12,($E14-$E15)*12,(BK15)*$D$4,0),-FV($H14/12,($E14-$E15)*12,(BK15)*$D$4,0))</f>
        <v>0</v>
      </c>
      <c r="BM14" s="301">
        <f>IF(D14=0,0,P14)</f>
        <v>0</v>
      </c>
      <c r="BN14" s="293">
        <f>-IF(BM18=E14,0,PMT($H14/12,($E14-BM18)*12,0,$BM14/$D$4))</f>
        <v>0</v>
      </c>
      <c r="BO14" s="306"/>
      <c r="BP14" s="411">
        <f>IF(D14&gt;0,E14,IF(D15&gt;0,E15,IF(D16&gt;0,E16,IF(D17&gt;0,E17,IF(D18&gt;0,E18,IF(D19&gt;0,E19,0))))))</f>
        <v>0</v>
      </c>
      <c r="BQ14" s="307">
        <f>CEILING(SUM(BQ12:BQ13),0.01)</f>
        <v>0</v>
      </c>
      <c r="BR14" s="117"/>
      <c r="BS14" s="466">
        <f>IF(D21&gt;0,E21,IF(D22&gt;0,E22,IF(D23&gt;0,E23,IF(D24&gt;0,E24,IF(D25&gt;0,E25,IF(D26&gt;0,E26,IF(D27&gt;0,E27,0)))))))</f>
        <v>0</v>
      </c>
      <c r="BT14" s="35"/>
      <c r="BU14" s="467">
        <f>IF(SUM(BW15:$BW$31)=0,BX14,0)</f>
        <v>0</v>
      </c>
      <c r="BV14" s="467"/>
      <c r="BW14" s="465">
        <f>IF(AND(NOT(O15="L"),BN$12&gt;0),1,0)</f>
        <v>0</v>
      </c>
      <c r="BX14" s="465">
        <f>IF(AND(SUM(BY14:CA14)&gt;0,SUM($J$12:J13)=0),1,0)</f>
        <v>0</v>
      </c>
      <c r="BY14" s="360">
        <f>IF(AND(R14&gt;0,SUM($R$12:R13)=0),1,IF(AND(U14&gt;0,SUM($U$12:U13)=0),1,IF(AND(X14&gt;0,SUM($X$12:X13)=0),1,IF(AND(AA14&gt;0,SUM($AA$12:AA13)=0),1,IF(AND(AD14&gt;0,SUM($AD$12:AD13)=0),1,IF(AND($AG14&gt;0,SUM($AG$12:AG13)=0),1,0))))))</f>
        <v>0</v>
      </c>
      <c r="BZ14" s="360">
        <f>IF(AND(AJ14&gt;0,SUM($AJ$12:AJ13)=0),1,IF(AND(AM14&gt;0,SUM($AM$12:AM13)=0),1,IF(AND(AP14&gt;0,SUM($AP$12:AP13)=0),1,IF(AND(AS14&gt;0,SUM($AS$12:AS13)=0),1,IF(AND(AV14&gt;0,SUM($AV$12:AV13)=0),1,IF(AND($AY14&gt;0,SUM($AY$12:AY13)=0),1,0))))))</f>
        <v>0</v>
      </c>
      <c r="CA14" s="360">
        <f>IF(AND(BB14&gt;0,SUM($BB$12:BB13)=0),1,IF(AND(BE14&gt;0,SUM($BE$12:BE13)=0),1,IF(AND(BH14&gt;0,SUM($BH$12:BH13)=0),1,IF(AND(BK14&gt;0,SUM($BK$12:BK13)=0),1,IF(AND(BN14&gt;0,SUM($BN$12:BN13)=0),1,IF(AND(BQ14&gt;0,SUM($BQ$12:BQ13)=0),1,0))))))</f>
        <v>0</v>
      </c>
    </row>
    <row r="15" spans="2:79" s="7" customFormat="1" ht="13.5" customHeight="1" thickBot="1">
      <c r="B15" s="12">
        <v>4</v>
      </c>
      <c r="C15" s="499"/>
      <c r="D15" s="399"/>
      <c r="E15" s="400"/>
      <c r="F15" s="401"/>
      <c r="G15" s="327">
        <f t="shared" si="0"/>
      </c>
      <c r="H15" s="395"/>
      <c r="I15" s="281"/>
      <c r="J15" s="141">
        <f aca="true" t="shared" si="29" ref="J15:J30">IF(K15&gt;=P15,0,-PMT(H15/12,(E15)*12,0,(P15-K15))/$D$4)</f>
        <v>0</v>
      </c>
      <c r="K15" s="142">
        <f>IF(K16&gt;P16,(-FV(H15,(E15-E16),0,(K16-P16)))+-FV(H15/12,(E15-E16)*12,SUM(J16:$J$31)*$D$4,0),-FV(H15/12,(N15-N16)*12,SUM(J16:$J$31)*$D$4,0))</f>
        <v>0</v>
      </c>
      <c r="L15" s="11"/>
      <c r="M15" s="318"/>
      <c r="N15" s="326">
        <f t="shared" si="27"/>
        <v>0</v>
      </c>
      <c r="O15" s="117" t="str">
        <f>IF(AND($BU$31=1,D15&gt;0,E15=$E$31),$E$31,IF(D15=0,O16,IF(AND(NOT(E15=$E$12),NOT($D$7=""),SUM($D$12:D14)&gt;0,BU15&gt;0),E15,"L")))</f>
        <v>L</v>
      </c>
      <c r="P15" s="13">
        <f>IF(D15=0,0,G15)</f>
        <v>0</v>
      </c>
      <c r="Q15" s="289">
        <f t="shared" si="1"/>
        <v>0</v>
      </c>
      <c r="R15" s="290">
        <f t="shared" si="2"/>
        <v>0</v>
      </c>
      <c r="S15" s="291">
        <f>IF(S16&gt;Q16,(-FV(H15,(E15-E16),0,(S16-Q16)))+-FV(H15/12,(E15-E16)*12,SUM(R16:$R$30)*$D$4,0),-FV(H15/12,(E15-E16)*12,SUM(R16:$R$30)*$D$4,0))</f>
        <v>0</v>
      </c>
      <c r="T15" s="343">
        <f t="shared" si="3"/>
        <v>0</v>
      </c>
      <c r="U15" s="299">
        <f t="shared" si="4"/>
        <v>0</v>
      </c>
      <c r="V15" s="302">
        <f>IF(V16&gt;$T16,(-FV($H15,($E15-$E16),0,(V16-$T16)))+-FV($H15/12,($E15-$E16)*12,SUM(U16:$U$29)*$D$4,0),-FV($H15/12,($E15-$E16)*12,SUM(U16:$U$29)*$D$4,0))</f>
        <v>0</v>
      </c>
      <c r="W15" s="393">
        <f t="shared" si="5"/>
        <v>0</v>
      </c>
      <c r="X15" s="293">
        <f t="shared" si="6"/>
        <v>0</v>
      </c>
      <c r="Y15" s="294">
        <f>IF(Y16&gt;$W16,(-FV($H15,($E15-$E16),0,(Y16-$W16)))+-FV($H15/12,($E15-$E16)*12,SUM(X16:$X$28)*$D$4,0),-FV($H15/12,($E15-$E16)*12,SUM(X16:$X$28)*$D$4,0))</f>
        <v>0</v>
      </c>
      <c r="Z15" s="420">
        <f t="shared" si="7"/>
        <v>0</v>
      </c>
      <c r="AA15" s="299">
        <f t="shared" si="28"/>
        <v>0</v>
      </c>
      <c r="AB15" s="300">
        <f>IF(AB16&gt;$Z16,(-FV($H15,($E15-$E16),0,(AB16-$Z16)))+-FV($H15/12,($E15-$E16)*12,SUM(AA16:$AA$27)*$D$4,0),-FV($H15/12,($E15-$E16)*12,SUM(AA16:$AA$27)*$D$4,0))</f>
        <v>0</v>
      </c>
      <c r="AC15" s="297">
        <f t="shared" si="8"/>
        <v>0</v>
      </c>
      <c r="AD15" s="290">
        <f t="shared" si="9"/>
        <v>0</v>
      </c>
      <c r="AE15" s="291">
        <f>IF(AE16&gt;$AC16,(-FV($H15,($E15-$E16),0,(AE16-$AC16)))+-FV($H15/12,($E15-$E16)*12,SUM(AD16:AD$26)*$D$4,0),-FV($H15/12,($E15-$E16)*12,SUM(AD16:AD$26)*$D$4,0))</f>
        <v>0</v>
      </c>
      <c r="AF15" s="298">
        <f t="shared" si="10"/>
        <v>0</v>
      </c>
      <c r="AG15" s="299">
        <f t="shared" si="11"/>
        <v>0</v>
      </c>
      <c r="AH15" s="300">
        <f>IF(AH16&gt;$AF16,(-FV($H15,($E15-$E16),0,(AH16-$AF16)))+-FV($H15/12,($E15-$E16)*12,SUM(AG16:AG$25)*$D$4,0),-FV($H15/12,($E15-$E16)*12,SUM(AG16:AG$25)*$D$4,0))</f>
        <v>0</v>
      </c>
      <c r="AI15" s="301">
        <f t="shared" si="12"/>
        <v>0</v>
      </c>
      <c r="AJ15" s="293">
        <f t="shared" si="13"/>
        <v>0</v>
      </c>
      <c r="AK15" s="294">
        <f>IF(AK16&gt;$AI16,(-FV($H15,($E15-$E16),0,(AK16-$AI16)))+-FV($H15/12,($E15-$E16)*12,SUM(AJ16:AJ$24)*$D$4,0),-FV($H15/12,($E15-$E16)*12,SUM(AJ16:AJ$24)*$D$4,0))</f>
        <v>0</v>
      </c>
      <c r="AL15" s="298">
        <f t="shared" si="14"/>
        <v>0</v>
      </c>
      <c r="AM15" s="299">
        <f t="shared" si="15"/>
        <v>0</v>
      </c>
      <c r="AN15" s="302">
        <f>IF(AN16&gt;$AL16,(-FV($H15,($E15-$E16),0,(AN16-$AL16)))+-FV($H15/12,($E15-$E16)*12,SUM(AM16:AM$23)*$D$4,0),-FV($H15/12,($E15-$E16)*12,SUM(AM16:AM$23)*$D$4,0))</f>
        <v>0</v>
      </c>
      <c r="AO15" s="301">
        <f t="shared" si="16"/>
        <v>0</v>
      </c>
      <c r="AP15" s="293">
        <f t="shared" si="17"/>
        <v>0</v>
      </c>
      <c r="AQ15" s="294">
        <f>IF(AQ16&gt;$AO16,(-FV($H15,($E15-$E16),0,(AQ16-$AO16)))+-FV($H15/12,($E15-$E16)*12,SUM(AP16:AP$22)*$D$4,0),-FV($H15/12,($E15-$E16)*12,SUM(AP16:AP$22)*$D$4,0))</f>
        <v>0</v>
      </c>
      <c r="AR15" s="329">
        <f t="shared" si="18"/>
        <v>0</v>
      </c>
      <c r="AS15" s="299">
        <f t="shared" si="19"/>
        <v>0</v>
      </c>
      <c r="AT15" s="300">
        <f>IF(AT16&gt;$AR16,(-FV($H15,($E15-$E16),0,(AT16-$AR16)))+-FV($H15/12,($E15-$E16)*12,SUM(AS16:AS$21)*$D$4,0),-FV($H15/12,($E15-$E16)*12,SUM(AS16:AS$21)*$D$4,0))</f>
        <v>0</v>
      </c>
      <c r="AU15" s="301">
        <f t="shared" si="20"/>
        <v>0</v>
      </c>
      <c r="AV15" s="293">
        <f t="shared" si="21"/>
        <v>0</v>
      </c>
      <c r="AW15" s="294">
        <f>IF(AW16&gt;$AU16,(-FV($H15,($E15-$E16),0,(AW16-$AU16)))+-FV($H15/12,($E15-$E16)*12,SUM(AV16:AV$20)*$D$4,0),-FV($H15/12,($E15-$E16)*12,SUM(AV16:AV$20)*$D$4,0))</f>
        <v>0</v>
      </c>
      <c r="AX15" s="298">
        <f t="shared" si="22"/>
        <v>0</v>
      </c>
      <c r="AY15" s="299">
        <f t="shared" si="23"/>
        <v>0</v>
      </c>
      <c r="AZ15" s="302">
        <f>IF(AZ16&gt;$AX16,(-FV($H15,($E15-$E16),0,(AZ16-$AX16)))+-FV($H15/12,($E15-$E16)*12,SUM(AY16:AY$19)*$D$4,0),-FV($H15/12,($E15-$E16)*12,SUM(AY16:AY$19)*$D$4,0))</f>
        <v>0</v>
      </c>
      <c r="BA15" s="301">
        <f t="shared" si="24"/>
        <v>0</v>
      </c>
      <c r="BB15" s="293">
        <f t="shared" si="25"/>
        <v>0</v>
      </c>
      <c r="BC15" s="294">
        <f>IF(BC16&gt;$BA16,(-FV($H15,($E15-$E16),0,(BC16-$BA16)))+-FV($H15/12,($E15-$E16)*12,SUM(BB16:BB$18)*$D$4,0),-FV($H15/12,($E15-$E16)*12,SUM(BB16:BB$18)*$D$4,0))</f>
        <v>0</v>
      </c>
      <c r="BD15" s="298">
        <f t="shared" si="26"/>
        <v>0</v>
      </c>
      <c r="BE15" s="299">
        <f>IF($BE$17=0,0,IF($BF15&gt;=$BD15,0,-PMT($H15/12,($E15-$BD$21)*12,0,($BD15-$BF15))/$D$4))</f>
        <v>0</v>
      </c>
      <c r="BF15" s="302">
        <f>IF(BF16&gt;$BD16,(-FV($H15,($E15-$E16),0,(BF16-$BD16)))+-FV($H15/12,($E15-$E16)*12,SUM(BE16:BE$17)*$D$4,0),-FV($H15/12,($E15-$E16)*12,SUM(BE16:BE$17)*$D$4,0))</f>
        <v>0</v>
      </c>
      <c r="BG15" s="301">
        <f>IF(D15=0,0,P15)</f>
        <v>0</v>
      </c>
      <c r="BH15" s="293">
        <f>IF($BH$16=0,0,IF(BI15&gt;=$BG15,0,-PMT($H15/12,($E15-$BG$20)*12,0,($BG15-BI15))/$D$4))</f>
        <v>0</v>
      </c>
      <c r="BI15" s="294">
        <f>IF(BI16&gt;$BG16,(-FV($H15,($E15-$E16),0,(BI16-$BG16)))+-FV($H15/12,($E15-$E16)*12,(BH16)*$D$4,0),-FV($H15/12,($E15-$E16)*12,(BH16)*$D$4,0))</f>
        <v>0</v>
      </c>
      <c r="BJ15" s="298">
        <f>IF(D15=0,0,P15)</f>
        <v>0</v>
      </c>
      <c r="BK15" s="299">
        <f>IF(BJ19=E15,0,-PMT($H15/12,($E15-BJ19)*12,0,$BJ15/D4))</f>
        <v>0</v>
      </c>
      <c r="BL15" s="308"/>
      <c r="BM15" s="466">
        <f>IF(D15&gt;0,E15,IF(D16&gt;0,E16,IF(D17&gt;0,E17,IF(D18&gt;0,E18,IF(D19&gt;0,E19,0)))))</f>
        <v>0</v>
      </c>
      <c r="BN15" s="307">
        <f>CEILING(SUM(BN12:BN14),0.01)</f>
        <v>0</v>
      </c>
      <c r="BO15" s="117"/>
      <c r="BP15" s="412">
        <f>IF(D20&gt;0,E20,IF(D21&gt;0,E21,IF(D22&gt;0,E22,IF(D23&gt;0,E23,IF(D24&gt;0,E24,IF(D25&gt;0,E25,IF(D26&gt;0,E26,0)))))))</f>
        <v>0</v>
      </c>
      <c r="BQ15" s="117"/>
      <c r="BR15" s="117"/>
      <c r="BS15" s="466">
        <f>IF(D28&gt;0,E28,IF(D29&gt;0,E29,IF(D30&gt;0,E30,IF(D31&gt;0,E31,0))))</f>
        <v>0</v>
      </c>
      <c r="BT15" s="35"/>
      <c r="BU15" s="467">
        <f>IF(SUM(BW16:$BW$31)=0,BX15,0)</f>
        <v>0</v>
      </c>
      <c r="BV15" s="467"/>
      <c r="BW15" s="465">
        <f>IF(AND(NOT(O16="L"),BK$12&gt;0),1,0)</f>
        <v>0</v>
      </c>
      <c r="BX15" s="465">
        <f>IF(AND(SUM(BY15:CA15)&gt;0,SUM($J$12:J14)=0),1,0)</f>
        <v>0</v>
      </c>
      <c r="BY15" s="360">
        <f>IF(AND(R15&gt;0,SUM($R$12:R14)=0),1,IF(AND(U15&gt;0,SUM($U$12:U14)=0),1,IF(AND(X15&gt;0,SUM($X$12:X14)=0),1,IF(AND(AA15&gt;0,SUM($AA$12:AA14)=0),1,IF(AND(AD15&gt;0,SUM($AD$12:AD14)=0),1,IF(AND($AG15&gt;0,SUM($AG$12:AG14)=0),1,0))))))</f>
        <v>0</v>
      </c>
      <c r="BZ15" s="360">
        <f>IF(AND(AJ15&gt;0,SUM($AJ$12:AJ14)=0),1,IF(AND(AM15&gt;0,SUM($AM$12:AM14)=0),1,IF(AND(AP15&gt;0,SUM($AP$12:AP14)=0),1,IF(AND(AS15&gt;0,SUM($AS$12:AS14)=0),1,IF(AND(AV15&gt;0,SUM($AV$12:AV14)=0),1,IF(AND($AY15&gt;0,SUM($AY$12:AY14)=0),1,0))))))</f>
        <v>0</v>
      </c>
      <c r="CA15" s="360">
        <f>IF(AND(BB15&gt;0,SUM($BB$12:BB14)=0),1,IF(AND(BE15&gt;0,SUM($BE$12:BE14)=0),1,IF(AND(BH15&gt;0,SUM($BH$12:BH14)=0),1,IF(AND(BK15&gt;0,SUM($BK$12:BK14)=0),1,IF(AND(BN15&gt;0,SUM($BN$12:BN14)=0),1,IF(AND(BQ15&gt;0,SUM($BQ$12:BQ14)=0),1,0))))))</f>
        <v>0</v>
      </c>
    </row>
    <row r="16" spans="2:79" s="7" customFormat="1" ht="13.5" customHeight="1" thickBot="1">
      <c r="B16" s="12">
        <v>5</v>
      </c>
      <c r="C16" s="499"/>
      <c r="D16" s="399"/>
      <c r="E16" s="400"/>
      <c r="F16" s="401"/>
      <c r="G16" s="327">
        <f t="shared" si="0"/>
      </c>
      <c r="H16" s="395"/>
      <c r="I16" s="281"/>
      <c r="J16" s="141">
        <f t="shared" si="29"/>
        <v>0</v>
      </c>
      <c r="K16" s="142">
        <f>IF(K17&gt;P17,(-FV(H16,(E16-E17),0,(K17-P17)))+-FV(H16/12,(E16-E17)*12,SUM(J17:$J$31)*$D$4,0),-FV(H16/12,(N16-N17)*12,SUM(J17:$J$31)*$D$4,0))</f>
        <v>0</v>
      </c>
      <c r="L16" s="11"/>
      <c r="M16" s="318"/>
      <c r="N16" s="326">
        <f t="shared" si="27"/>
        <v>0</v>
      </c>
      <c r="O16" s="117" t="str">
        <f>IF(AND($BU$31=1,D16&gt;0,E16=$E$31),$E$31,IF(D16=0,O17,IF(AND(NOT(E16=$E$12),NOT($D$7=""),SUM($D$12:D15)&gt;0,BU16&gt;0),E16,"L")))</f>
        <v>L</v>
      </c>
      <c r="P16" s="13">
        <f aca="true" t="shared" si="30" ref="P16:P22">IF(D16=0,0,G16)</f>
        <v>0</v>
      </c>
      <c r="Q16" s="289">
        <f t="shared" si="1"/>
        <v>0</v>
      </c>
      <c r="R16" s="290">
        <f t="shared" si="2"/>
        <v>0</v>
      </c>
      <c r="S16" s="291">
        <f>IF(S17&gt;Q17,(-FV(H16,(E16-E17),0,(S17-Q17)))+-FV(H16/12,(E16-E17)*12,SUM(R17:$R$30)*$D$4,0),-FV(H16/12,(E16-E17)*12,SUM(R17:$R$30)*$D$4,0))</f>
        <v>0</v>
      </c>
      <c r="T16" s="343">
        <f t="shared" si="3"/>
        <v>0</v>
      </c>
      <c r="U16" s="299">
        <f t="shared" si="4"/>
        <v>0</v>
      </c>
      <c r="V16" s="302">
        <f>IF(V17&gt;$T17,(-FV($H16,($E16-$E17),0,(V17-$T17)))+-FV($H16/12,($E16-$E17)*12,SUM(U17:$U$29)*$D$4,0),-FV($H16/12,($E16-$E17)*12,SUM(U17:$U$29)*$D$4,0))</f>
        <v>0</v>
      </c>
      <c r="W16" s="393">
        <f t="shared" si="5"/>
        <v>0</v>
      </c>
      <c r="X16" s="293">
        <f t="shared" si="6"/>
        <v>0</v>
      </c>
      <c r="Y16" s="294">
        <f>IF(Y17&gt;$W17,(-FV($H16,($E16-$E17),0,(Y17-$W17)))+-FV($H16/12,($E16-$E17)*12,SUM(X17:$X$28)*$D$4,0),-FV($H16/12,($E16-$E17)*12,SUM(X17:$X$28)*$D$4,0))</f>
        <v>0</v>
      </c>
      <c r="Z16" s="420">
        <f t="shared" si="7"/>
        <v>0</v>
      </c>
      <c r="AA16" s="299">
        <f t="shared" si="28"/>
        <v>0</v>
      </c>
      <c r="AB16" s="300">
        <f>IF(AB17&gt;$Z17,(-FV($H16,($E16-$E17),0,(AB17-$Z17)))+-FV($H16/12,($E16-$E17)*12,SUM(AA17:$AA$27)*$D$4,0),-FV($H16/12,($E16-$E17)*12,SUM(AA17:$AA$27)*$D$4,0))</f>
        <v>0</v>
      </c>
      <c r="AC16" s="297">
        <f t="shared" si="8"/>
        <v>0</v>
      </c>
      <c r="AD16" s="290">
        <f t="shared" si="9"/>
        <v>0</v>
      </c>
      <c r="AE16" s="291">
        <f>IF(AE17&gt;$AC17,(-FV($H16,($E16-$E17),0,(AE17-$AC17)))+-FV($H16/12,($E16-$E17)*12,SUM(AD17:AD$26)*$D$4,0),-FV($H16/12,($E16-$E17)*12,SUM(AD17:AD$26)*$D$4,0))</f>
        <v>0</v>
      </c>
      <c r="AF16" s="298">
        <f t="shared" si="10"/>
        <v>0</v>
      </c>
      <c r="AG16" s="299">
        <f t="shared" si="11"/>
        <v>0</v>
      </c>
      <c r="AH16" s="300">
        <f>IF(AH17&gt;$AF17,(-FV($H16,($E16-$E17),0,(AH17-$AF17)))+-FV($H16/12,($E16-$E17)*12,SUM(AG17:AG$25)*$D$4,0),-FV($H16/12,($E16-$E17)*12,SUM(AG17:AG$25)*$D$4,0))</f>
        <v>0</v>
      </c>
      <c r="AI16" s="301">
        <f t="shared" si="12"/>
        <v>0</v>
      </c>
      <c r="AJ16" s="293">
        <f t="shared" si="13"/>
        <v>0</v>
      </c>
      <c r="AK16" s="294">
        <f>IF(AK17&gt;$AI17,(-FV($H16,($E16-$E17),0,(AK17-$AI17)))+-FV($H16/12,($E16-$E17)*12,SUM(AJ17:AJ$24)*$D$4,0),-FV($H16/12,($E16-$E17)*12,SUM(AJ17:AJ$24)*$D$4,0))</f>
        <v>0</v>
      </c>
      <c r="AL16" s="298">
        <f t="shared" si="14"/>
        <v>0</v>
      </c>
      <c r="AM16" s="299">
        <f t="shared" si="15"/>
        <v>0</v>
      </c>
      <c r="AN16" s="302">
        <f>IF(AN17&gt;$AL17,(-FV($H16,($E16-$E17),0,(AN17-$AL17)))+-FV($H16/12,($E16-$E17)*12,SUM(AM17:AM$23)*$D$4,0),-FV($H16/12,($E16-$E17)*12,SUM(AM17:AM$23)*$D$4,0))</f>
        <v>0</v>
      </c>
      <c r="AO16" s="301">
        <f t="shared" si="16"/>
        <v>0</v>
      </c>
      <c r="AP16" s="293">
        <f t="shared" si="17"/>
        <v>0</v>
      </c>
      <c r="AQ16" s="294">
        <f>IF(AQ17&gt;$AO17,(-FV($H16,($E16-$E17),0,(AQ17-$AO17)))+-FV($H16/12,($E16-$E17)*12,SUM(AP17:AP$22)*$D$4,0),-FV($H16/12,($E16-$E17)*12,SUM(AP17:AP$22)*$D$4,0))</f>
        <v>0</v>
      </c>
      <c r="AR16" s="329">
        <f t="shared" si="18"/>
        <v>0</v>
      </c>
      <c r="AS16" s="299">
        <f t="shared" si="19"/>
        <v>0</v>
      </c>
      <c r="AT16" s="300">
        <f>IF(AT17&gt;$AR17,(-FV($H16,($E16-$E17),0,(AT17-$AR17)))+-FV($H16/12,($E16-$E17)*12,SUM(AS17:AS$21)*$D$4,0),-FV($H16/12,($E16-$E17)*12,SUM(AS17:AS$21)*$D$4,0))</f>
        <v>0</v>
      </c>
      <c r="AU16" s="301">
        <f t="shared" si="20"/>
        <v>0</v>
      </c>
      <c r="AV16" s="293">
        <f t="shared" si="21"/>
        <v>0</v>
      </c>
      <c r="AW16" s="294">
        <f>IF(AW17&gt;$AU17,(-FV($H16,($E16-$E17),0,(AW17-$AU17)))+-FV($H16/12,($E16-$E17)*12,SUM(AV17:AV$20)*$D$4,0),-FV($H16/12,($E16-$E17)*12,SUM(AV17:AV$20)*$D$4,0))</f>
        <v>0</v>
      </c>
      <c r="AX16" s="298">
        <f t="shared" si="22"/>
        <v>0</v>
      </c>
      <c r="AY16" s="299">
        <f t="shared" si="23"/>
        <v>0</v>
      </c>
      <c r="AZ16" s="302">
        <f>IF(AZ17&gt;$AX17,(-FV($H16,($E16-$E17),0,(AZ17-$AX17)))+-FV($H16/12,($E16-$E17)*12,SUM(AY17:AY$19)*$D$4,0),-FV($H16/12,($E16-$E17)*12,SUM(AY17:AY$19)*$D$4,0))</f>
        <v>0</v>
      </c>
      <c r="BA16" s="301">
        <f t="shared" si="24"/>
        <v>0</v>
      </c>
      <c r="BB16" s="293">
        <f t="shared" si="25"/>
        <v>0</v>
      </c>
      <c r="BC16" s="294">
        <f>IF(BC17&gt;$BA17,(-FV($H16,($E16-$E17),0,(BC17-$BA17)))+-FV($H16/12,($E16-$E17)*12,SUM(BB17:BB$18)*$D$4,0),-FV($H16/12,($E16-$E17)*12,SUM(BB17:BB$18)*$D$4,0))</f>
        <v>0</v>
      </c>
      <c r="BD16" s="298">
        <f t="shared" si="26"/>
        <v>0</v>
      </c>
      <c r="BE16" s="299">
        <f>IF($BE$17=0,0,IF($BF16&gt;=$BD16,0,-PMT($H16/12,($E16-$BD$21)*12,0,($BD16-$BF16))/$D$4))</f>
        <v>0</v>
      </c>
      <c r="BF16" s="302">
        <f>IF(BF17&gt;$BD17,(-FV($H16,($E16-$E17),0,(BF17-$BD17)))+-FV($H16/12,($E16-$E17)*12,(BE17)*$D$4,0),-FV($H16/12,($E16-$E17)*12,(BE17)*$D$4,0))</f>
        <v>0</v>
      </c>
      <c r="BG16" s="301">
        <f>IF(D16=0,0,P16)</f>
        <v>0</v>
      </c>
      <c r="BH16" s="293">
        <f>IF(BG20=E16,0,-PMT($H16/12,($E16-BG20)*12,0,$BG16/$D$4))</f>
        <v>0</v>
      </c>
      <c r="BI16" s="306"/>
      <c r="BJ16" s="468">
        <f>IF(D16&gt;0,E16,IF(D17&gt;0,E17,IF(D18&gt;0,E18,IF(D19&gt;0,E19,0))))</f>
        <v>0</v>
      </c>
      <c r="BK16" s="431">
        <f>CEILING(SUM(BK12:BK15),0.01)</f>
        <v>0</v>
      </c>
      <c r="BL16" s="117"/>
      <c r="BM16" s="466">
        <f>IF(D20&gt;0,E20,IF(D21&gt;0,E21,IF(D22&gt;0,E22,IF(D23&gt;0,E23,IF(D24&gt;0,E24,IF(D25&gt;0,E25,IF(D26&gt;0,E26,0)))))))</f>
        <v>0</v>
      </c>
      <c r="BN16" s="117"/>
      <c r="BO16" s="117"/>
      <c r="BP16" s="412">
        <f>IF(D27&gt;0,E27,IF(D28&gt;0,E28,IF(D29&gt;0,E29,IF(D30&gt;0,E30,IF(D31&gt;0,E31,0)))))</f>
        <v>0</v>
      </c>
      <c r="BQ16" s="117"/>
      <c r="BR16" s="117"/>
      <c r="BS16" s="466">
        <f>IF(BS13&gt;0,BS13,IF(BS14&gt;0,BS14,IF(BS15&gt;0,BS15,0)))</f>
        <v>0</v>
      </c>
      <c r="BT16" s="35"/>
      <c r="BU16" s="467">
        <f>IF(SUM(BW17:$BW$31)=0,BX16,0)</f>
        <v>0</v>
      </c>
      <c r="BV16" s="467"/>
      <c r="BW16" s="465">
        <f>IF(AND(NOT(O17="L"),BH$12&gt;0),1,0)</f>
        <v>0</v>
      </c>
      <c r="BX16" s="465">
        <f>IF(AND(SUM(BY16:CA16)&gt;0,SUM($J$12:J15)=0),1,0)</f>
        <v>0</v>
      </c>
      <c r="BY16" s="360">
        <f>IF(AND(R16&gt;0,SUM($R$12:R15)=0),1,IF(AND(U16&gt;0,SUM($U$12:U15)=0),1,IF(AND(X16&gt;0,SUM($X$12:X15)=0),1,IF(AND(AA16&gt;0,SUM($AA$12:AA15)=0),1,IF(AND(AD16&gt;0,SUM($AD$12:AD15)=0),1,IF(AND($AG16&gt;0,SUM($AG$12:AG15)=0),1,0))))))</f>
        <v>0</v>
      </c>
      <c r="BZ16" s="360">
        <f>IF(AND(AJ16&gt;0,SUM($AJ$12:AJ15)=0),1,IF(AND(AM16&gt;0,SUM($AM$12:AM15)=0),1,IF(AND(AP16&gt;0,SUM($AP$12:AP15)=0),1,IF(AND(AS16&gt;0,SUM($AS$12:AS15)=0),1,IF(AND(AV16&gt;0,SUM($AV$12:AV15)=0),1,IF(AND($AY16&gt;0,SUM($AY$12:AY15)=0),1,0))))))</f>
        <v>0</v>
      </c>
      <c r="CA16" s="360">
        <f>IF(AND(BB16&gt;0,SUM($BB$12:BB15)=0),1,IF(AND(BE16&gt;0,SUM($BE$12:BE15)=0),1,IF(AND(BH16&gt;0,SUM($BH$12:BH15)=0),1,IF(AND(BK16&gt;0,SUM($BK$12:BK15)=0),1,IF(AND(BN16&gt;0,SUM($BN$12:BN15)=0),1,IF(AND(BQ16&gt;0,SUM($BQ$12:BQ15)=0),1,0))))))</f>
        <v>0</v>
      </c>
    </row>
    <row r="17" spans="2:79" ht="13.5" customHeight="1" thickBot="1">
      <c r="B17" s="12">
        <v>6</v>
      </c>
      <c r="C17" s="499"/>
      <c r="D17" s="399"/>
      <c r="E17" s="400"/>
      <c r="F17" s="401"/>
      <c r="G17" s="327">
        <f t="shared" si="0"/>
      </c>
      <c r="H17" s="395"/>
      <c r="I17" s="281"/>
      <c r="J17" s="141">
        <f>IF(K17&gt;=P17,0,-PMT(H17/12,(E17)*12,0,(P17-K17))/$D$4)</f>
        <v>0</v>
      </c>
      <c r="K17" s="142">
        <f>IF(K18&gt;P18,(-FV(H17,(E17-E18),0,(K18-P18)))+-FV(H17/12,(E17-E18)*12,SUM(J18:$J$31)*$D$4,0),-FV(H17/12,(N17-N18)*12,SUM(J18:$J$31)*$D$4,0))</f>
        <v>0</v>
      </c>
      <c r="L17" s="11"/>
      <c r="M17" s="318"/>
      <c r="N17" s="326">
        <f t="shared" si="27"/>
        <v>0</v>
      </c>
      <c r="O17" s="117" t="str">
        <f>IF(AND($BU$31=1,D17&gt;0,E17=$E$31),$E$31,IF(D17=0,O18,IF(AND(NOT(E17=$E$12),NOT($D$7=""),SUM($D$12:D16)&gt;0,BU17&gt;0),E17,"L")))</f>
        <v>L</v>
      </c>
      <c r="P17" s="13">
        <f t="shared" si="30"/>
        <v>0</v>
      </c>
      <c r="Q17" s="289">
        <f t="shared" si="1"/>
        <v>0</v>
      </c>
      <c r="R17" s="290">
        <f t="shared" si="2"/>
        <v>0</v>
      </c>
      <c r="S17" s="291">
        <f>IF(S18&gt;Q18,(-FV(H17,(E17-E18),0,(S18-Q18)))+-FV(H17/12,(E17-E18)*12,SUM(R18:$R$30)*$D$4,0),-FV(H17/12,(E17-E18)*12,SUM(R18:$R$30)*$D$4,0))</f>
        <v>0</v>
      </c>
      <c r="T17" s="343">
        <f t="shared" si="3"/>
        <v>0</v>
      </c>
      <c r="U17" s="299">
        <f t="shared" si="4"/>
        <v>0</v>
      </c>
      <c r="V17" s="302">
        <f>IF(V18&gt;$T18,(-FV($H17,($E17-$E18),0,(V18-$T18)))+-FV($H17/12,($E17-$E18)*12,SUM(U18:$U$29)*$D$4,0),-FV($H17/12,($E17-$E18)*12,SUM(U18:$U$29)*$D$4,0))</f>
        <v>0</v>
      </c>
      <c r="W17" s="393">
        <f t="shared" si="5"/>
        <v>0</v>
      </c>
      <c r="X17" s="293">
        <f t="shared" si="6"/>
        <v>0</v>
      </c>
      <c r="Y17" s="294">
        <f>IF(Y18&gt;$W18,(-FV($H17,($E17-$E18),0,(Y18-$W18)))+-FV($H17/12,($E17-$E18)*12,SUM(X18:$X$28)*$D$4,0),-FV($H17/12,($E17-$E18)*12,SUM(X18:$X$28)*$D$4,0))</f>
        <v>0</v>
      </c>
      <c r="Z17" s="420">
        <f t="shared" si="7"/>
        <v>0</v>
      </c>
      <c r="AA17" s="299">
        <f t="shared" si="28"/>
        <v>0</v>
      </c>
      <c r="AB17" s="300">
        <f>IF(AB18&gt;$Z18,(-FV($H17,($E17-$E18),0,(AB18-$Z18)))+-FV($H17/12,($E17-$E18)*12,SUM(AA18:$AA$27)*$D$4,0),-FV($H17/12,($E17-$E18)*12,SUM(AA18:$AA$27)*$D$4,0))</f>
        <v>0</v>
      </c>
      <c r="AC17" s="297">
        <f t="shared" si="8"/>
        <v>0</v>
      </c>
      <c r="AD17" s="290">
        <f t="shared" si="9"/>
        <v>0</v>
      </c>
      <c r="AE17" s="291">
        <f>IF(AE18&gt;$AC18,(-FV($H17,($E17-$E18),0,(AE18-$AC18)))+-FV($H17/12,($E17-$E18)*12,SUM(AD18:AD$26)*$D$4,0),-FV($H17/12,($E17-$E18)*12,SUM(AD18:AD$26)*$D$4,0))</f>
        <v>0</v>
      </c>
      <c r="AF17" s="298">
        <f t="shared" si="10"/>
        <v>0</v>
      </c>
      <c r="AG17" s="299">
        <f t="shared" si="11"/>
        <v>0</v>
      </c>
      <c r="AH17" s="300">
        <f>IF(AH18&gt;$AF18,(-FV($H17,($E17-$E18),0,(AH18-$AF18)))+-FV($H17/12,($E17-$E18)*12,SUM(AG18:AG$25)*$D$4,0),-FV($H17/12,($E17-$E18)*12,SUM(AG18:AG$25)*$D$4,0))</f>
        <v>0</v>
      </c>
      <c r="AI17" s="301">
        <f t="shared" si="12"/>
        <v>0</v>
      </c>
      <c r="AJ17" s="293">
        <f t="shared" si="13"/>
        <v>0</v>
      </c>
      <c r="AK17" s="294">
        <f>IF(AK18&gt;$AI18,(-FV($H17,($E17-$E18),0,(AK18-$AI18)))+-FV($H17/12,($E17-$E18)*12,SUM(AJ18:AJ$24)*$D$4,0),-FV($H17/12,($E17-$E18)*12,SUM(AJ18:AJ$24)*$D$4,0))</f>
        <v>0</v>
      </c>
      <c r="AL17" s="298">
        <f t="shared" si="14"/>
        <v>0</v>
      </c>
      <c r="AM17" s="299">
        <f t="shared" si="15"/>
        <v>0</v>
      </c>
      <c r="AN17" s="302">
        <f>IF(AN18&gt;$AL18,(-FV($H17,($E17-$E18),0,(AN18-$AL18)))+-FV($H17/12,($E17-$E18)*12,SUM(AM18:AM$23)*$D$4,0),-FV($H17/12,($E17-$E18)*12,SUM(AM18:AM$23)*$D$4,0))</f>
        <v>0</v>
      </c>
      <c r="AO17" s="301">
        <f t="shared" si="16"/>
        <v>0</v>
      </c>
      <c r="AP17" s="293">
        <f t="shared" si="17"/>
        <v>0</v>
      </c>
      <c r="AQ17" s="294">
        <f>IF(AQ18&gt;$AO18,(-FV($H17,($E17-$E18),0,(AQ18-$AO18)))+-FV($H17/12,($E17-$E18)*12,SUM(AP18:AP$22)*$D$4,0),-FV($H17/12,($E17-$E18)*12,SUM(AP18:AP$22)*$D$4,0))</f>
        <v>0</v>
      </c>
      <c r="AR17" s="329">
        <f t="shared" si="18"/>
        <v>0</v>
      </c>
      <c r="AS17" s="299">
        <f t="shared" si="19"/>
        <v>0</v>
      </c>
      <c r="AT17" s="300">
        <f>IF(AT18&gt;$AR18,(-FV($H17,($E17-$E18),0,(AT18-$AR18)))+-FV($H17/12,($E17-$E18)*12,SUM(AS18:AS$21)*$D$4,0),-FV($H17/12,($E17-$E18)*12,SUM(AS18:AS$21)*$D$4,0))</f>
        <v>0</v>
      </c>
      <c r="AU17" s="301">
        <f t="shared" si="20"/>
        <v>0</v>
      </c>
      <c r="AV17" s="293">
        <f t="shared" si="21"/>
        <v>0</v>
      </c>
      <c r="AW17" s="294">
        <f>IF(AW18&gt;$AU18,(-FV($H17,($E17-$E18),0,(AW18-$AU18)))+-FV($H17/12,($E17-$E18)*12,SUM(AV18:AV$20)*$D$4,0),-FV($H17/12,($E17-$E18)*12,SUM(AV18:AV$20)*$D$4,0))</f>
        <v>0</v>
      </c>
      <c r="AX17" s="298">
        <f t="shared" si="22"/>
        <v>0</v>
      </c>
      <c r="AY17" s="299">
        <f t="shared" si="23"/>
        <v>0</v>
      </c>
      <c r="AZ17" s="302">
        <f>IF(AZ18&gt;$AX18,(-FV($H17,($E17-$E18),0,(AZ18-$AX18)))+-FV($H17/12,($E17-$E18)*12,SUM(AY18:AY$19)*$D$4,0),-FV($H17/12,($E17-$E18)*12,SUM(AY18:AY$19)*$D$4,0))</f>
        <v>0</v>
      </c>
      <c r="BA17" s="301">
        <f t="shared" si="24"/>
        <v>0</v>
      </c>
      <c r="BB17" s="293">
        <f t="shared" si="25"/>
        <v>0</v>
      </c>
      <c r="BC17" s="294">
        <f>IF(BC18&gt;$BA18,(-FV($H17,($E17-$E18),0,(BC18-$BA18)))+-FV($H17/12,($E17-$E18)*12,(BB18)*$D$4,0),-FV($H17/12,($E17-$E18)*12,(BB18)*$D$4,0))</f>
        <v>0</v>
      </c>
      <c r="BD17" s="298">
        <f t="shared" si="26"/>
        <v>0</v>
      </c>
      <c r="BE17" s="299">
        <f>IF(BD21=E17,0,-PMT($H17/12,($E17-BD21)*12,0,$BD17/$D$4))</f>
        <v>0</v>
      </c>
      <c r="BF17" s="309"/>
      <c r="BG17" s="468">
        <f>IF(D17&gt;0,E17,IF(D18&gt;0,E18,IF(D19&gt;0,E19,0)))</f>
        <v>0</v>
      </c>
      <c r="BH17" s="307">
        <f>CEILING(SUM(BH12:BH16),0.01)</f>
        <v>0</v>
      </c>
      <c r="BJ17" s="469">
        <f>IF(D20&gt;0,E20,IF(D21&gt;0,E21,IF(D22&gt;0,E22,IF(D23&gt;0,E23,IF(D24&gt;0,E24,IF(D25&gt;0,E25,IF(D26&gt;0,E26,0)))))))</f>
        <v>0</v>
      </c>
      <c r="BM17" s="466">
        <f>IF(D27&gt;0,E27,IF(D28&gt;0,E28,IF(D29&gt;0,E29,IF(D30&gt;0,E30,IF(D31&gt;0,E31,0)))))</f>
        <v>0</v>
      </c>
      <c r="BP17" s="466">
        <f>IF(BP14&gt;0,BP14,IF(BP15&gt;0,BP15,IF(BP16&gt;0,BP16,0)))</f>
        <v>0</v>
      </c>
      <c r="BS17" s="345"/>
      <c r="BT17" s="35"/>
      <c r="BU17" s="467">
        <f>IF(SUM(BW18:$BW$31)=0,BX17,0)</f>
        <v>0</v>
      </c>
      <c r="BV17" s="467"/>
      <c r="BW17" s="465">
        <f>IF(AND(NOT(O18="L"),BE$12&gt;0),1,0)</f>
        <v>0</v>
      </c>
      <c r="BX17" s="465">
        <f>IF(AND(SUM(BY17:CA17)&gt;0,SUM($J$12:J16)=0),1,0)</f>
        <v>0</v>
      </c>
      <c r="BY17" s="360">
        <f>IF(AND(R17&gt;0,SUM($R$12:R16)=0),1,IF(AND(U17&gt;0,SUM($U$12:U16)=0),1,IF(AND(X17&gt;0,SUM($X$12:X16)=0),1,IF(AND(AA17&gt;0,SUM($AA$12:AA16)=0),1,IF(AND(AD17&gt;0,SUM($AD$12:AD16)=0),1,IF(AND($AG17&gt;0,SUM($AG$12:AG16)=0),1,0))))))</f>
        <v>0</v>
      </c>
      <c r="BZ17" s="360">
        <f>IF(AND(AJ17&gt;0,SUM($AJ$12:AJ16)=0),1,IF(AND(AM17&gt;0,SUM($AM$12:AM16)=0),1,IF(AND(AP17&gt;0,SUM($AP$12:AP16)=0),1,IF(AND(AS17&gt;0,SUM($AS$12:AS16)=0),1,IF(AND(AV17&gt;0,SUM($AV$12:AV16)=0),1,IF(AND($AY17&gt;0,SUM($AY$12:AY16)=0),1,0))))))</f>
        <v>0</v>
      </c>
      <c r="CA17" s="360">
        <f>IF(AND(BB17&gt;0,SUM($BB$12:BB16)=0),1,IF(AND(BE17&gt;0,SUM($BE$12:BE16)=0),1,IF(AND(BH17&gt;0,SUM($BH$12:BH16)=0),1,IF(AND(BK17&gt;0,SUM($BK$12:BK16)=0),1,IF(AND(BN17&gt;0,SUM($BN$12:BN16)=0),1,IF(AND(BQ17&gt;0,SUM($BQ$12:BQ16)=0),1,0))))))</f>
        <v>0</v>
      </c>
    </row>
    <row r="18" spans="2:79" ht="13.5" customHeight="1" thickBot="1">
      <c r="B18" s="12">
        <v>7</v>
      </c>
      <c r="C18" s="499"/>
      <c r="D18" s="399"/>
      <c r="E18" s="400"/>
      <c r="F18" s="401"/>
      <c r="G18" s="327">
        <f t="shared" si="0"/>
      </c>
      <c r="H18" s="395"/>
      <c r="I18" s="281"/>
      <c r="J18" s="141">
        <f t="shared" si="29"/>
        <v>0</v>
      </c>
      <c r="K18" s="142">
        <f>IF(K19&gt;P19,(-FV(H18,(E18-E19),0,(K19-P19)))+-FV(H18/12,(E18-E19)*12,SUM(J19:$J$31)*$D$4,0),-FV(H18/12,(N18-N19)*12,SUM(J19:$J$31)*$D$4,0))</f>
        <v>0</v>
      </c>
      <c r="L18" s="11"/>
      <c r="M18" s="318"/>
      <c r="N18" s="326">
        <f t="shared" si="27"/>
        <v>0</v>
      </c>
      <c r="O18" s="117" t="str">
        <f>IF(AND($BU$31=1,D18&gt;0,E18=$E$31),$E$31,IF(D18=0,O19,IF(AND(NOT(E18=$E$12),NOT($D$7=""),SUM($D$12:D17)&gt;0,BU18&gt;0),E18,"L")))</f>
        <v>L</v>
      </c>
      <c r="P18" s="13">
        <f t="shared" si="30"/>
        <v>0</v>
      </c>
      <c r="Q18" s="289">
        <f t="shared" si="1"/>
        <v>0</v>
      </c>
      <c r="R18" s="290">
        <f t="shared" si="2"/>
        <v>0</v>
      </c>
      <c r="S18" s="291">
        <f>IF(S19&gt;Q19,(-FV(H18,(E18-E19),0,(S19-Q19)))+-FV(H18/12,(E18-E19)*12,SUM(R19:$R$30)*$D$4,0),-FV(H18/12,(E18-E19)*12,SUM(R19:$R$30)*$D$4,0))</f>
        <v>0</v>
      </c>
      <c r="T18" s="343">
        <f t="shared" si="3"/>
        <v>0</v>
      </c>
      <c r="U18" s="299">
        <f t="shared" si="4"/>
        <v>0</v>
      </c>
      <c r="V18" s="302">
        <f>IF(V19&gt;$T19,(-FV($H18,($E18-$E19),0,(V19-$T19)))+-FV($H18/12,($E18-$E19)*12,SUM(U19:$U$29)*$D$4,0),-FV($H18/12,($E18-$E19)*12,SUM(U19:$U$29)*$D$4,0))</f>
        <v>0</v>
      </c>
      <c r="W18" s="393">
        <f t="shared" si="5"/>
        <v>0</v>
      </c>
      <c r="X18" s="293">
        <f t="shared" si="6"/>
        <v>0</v>
      </c>
      <c r="Y18" s="294">
        <f>IF(Y19&gt;$W19,(-FV($H18,($E18-$E19),0,(Y19-$W19)))+-FV($H18/12,($E18-$E19)*12,SUM(X19:$X$28)*$D$4,0),-FV($H18/12,($E18-$E19)*12,SUM(X19:$X$28)*$D$4,0))</f>
        <v>0</v>
      </c>
      <c r="Z18" s="420">
        <f t="shared" si="7"/>
        <v>0</v>
      </c>
      <c r="AA18" s="299">
        <f t="shared" si="28"/>
        <v>0</v>
      </c>
      <c r="AB18" s="300">
        <f>IF(AB19&gt;$Z19,(-FV($H18,($E18-$E19),0,(AB19-$Z19)))+-FV($H18/12,($E18-$E19)*12,SUM(AA19:$AA$27)*$D$4,0),-FV($H18/12,($E18-$E19)*12,SUM(AA19:$AA$27)*$D$4,0))</f>
        <v>0</v>
      </c>
      <c r="AC18" s="297">
        <f t="shared" si="8"/>
        <v>0</v>
      </c>
      <c r="AD18" s="290">
        <f t="shared" si="9"/>
        <v>0</v>
      </c>
      <c r="AE18" s="291">
        <f>IF(AE19&gt;$AC19,(-FV($H18,($E18-$E19),0,(AE19-$AC19)))+-FV($H18/12,($E18-$E19)*12,SUM(AD19:AD$26)*$D$4,0),-FV($H18/12,($E18-$E19)*12,SUM(AD19:AD$26)*$D$4,0))</f>
        <v>0</v>
      </c>
      <c r="AF18" s="298">
        <f t="shared" si="10"/>
        <v>0</v>
      </c>
      <c r="AG18" s="299">
        <f t="shared" si="11"/>
        <v>0</v>
      </c>
      <c r="AH18" s="300">
        <f>IF(AH19&gt;$AF19,(-FV($H18,($E18-$E19),0,(AH19-$AF19)))+-FV($H18/12,($E18-$E19)*12,SUM(AG19:AG$25)*$D$4,0),-FV($H18/12,($E18-$E19)*12,SUM(AG19:AG$25)*$D$4,0))</f>
        <v>0</v>
      </c>
      <c r="AI18" s="301">
        <f t="shared" si="12"/>
        <v>0</v>
      </c>
      <c r="AJ18" s="293">
        <f t="shared" si="13"/>
        <v>0</v>
      </c>
      <c r="AK18" s="294">
        <f>IF(AK19&gt;$AI19,(-FV($H18,($E18-$E19),0,(AK19-$AI19)))+-FV($H18/12,($E18-$E19)*12,SUM(AJ19:AJ$24)*$D$4,0),-FV($H18/12,($E18-$E19)*12,SUM(AJ19:AJ$24)*$D$4,0))</f>
        <v>0</v>
      </c>
      <c r="AL18" s="298">
        <f t="shared" si="14"/>
        <v>0</v>
      </c>
      <c r="AM18" s="299">
        <f t="shared" si="15"/>
        <v>0</v>
      </c>
      <c r="AN18" s="302">
        <f>IF(AN19&gt;$AL19,(-FV($H18,($E18-$E19),0,(AN19-$AL19)))+-FV($H18/12,($E18-$E19)*12,SUM(AM19:AM$23)*$D$4,0),-FV($H18/12,($E18-$E19)*12,SUM(AM19:AM$23)*$D$4,0))</f>
        <v>0</v>
      </c>
      <c r="AO18" s="301">
        <f t="shared" si="16"/>
        <v>0</v>
      </c>
      <c r="AP18" s="293">
        <f t="shared" si="17"/>
        <v>0</v>
      </c>
      <c r="AQ18" s="294">
        <f>IF(AQ19&gt;$AO19,(-FV($H18,($E18-$E19),0,(AQ19-$AO19)))+-FV($H18/12,($E18-$E19)*12,SUM(AP19:AP$22)*$D$4,0),-FV($H18/12,($E18-$E19)*12,SUM(AP19:AP$22)*$D$4,0))</f>
        <v>0</v>
      </c>
      <c r="AR18" s="329">
        <f t="shared" si="18"/>
        <v>0</v>
      </c>
      <c r="AS18" s="299">
        <f t="shared" si="19"/>
        <v>0</v>
      </c>
      <c r="AT18" s="300">
        <f>IF(AT19&gt;$AR19,(-FV($H18,($E18-$E19),0,(AT19-$AR19)))+-FV($H18/12,($E18-$E19)*12,SUM(AS19:AS$21)*$D$4,0),-FV($H18/12,($E18-$E19)*12,SUM(AS19:AS$21)*$D$4,0))</f>
        <v>0</v>
      </c>
      <c r="AU18" s="301">
        <f t="shared" si="20"/>
        <v>0</v>
      </c>
      <c r="AV18" s="293">
        <f t="shared" si="21"/>
        <v>0</v>
      </c>
      <c r="AW18" s="294">
        <f>IF(AW19&gt;$AU19,(-FV($H18,($E18-$E19),0,(AW19-$AU19)))+-FV($H18/12,($E18-$E19)*12,SUM(AV19:AV$20)*$D$4,0),-FV($H18/12,($E18-$E19)*12,SUM(AV19:AV$20)*$D$4,0))</f>
        <v>0</v>
      </c>
      <c r="AX18" s="298">
        <f t="shared" si="22"/>
        <v>0</v>
      </c>
      <c r="AY18" s="299">
        <f>IF($AY$19=0,0,IF(AZ18&gt;=$AX18,0,-PMT($H18/12,($E18-$AX$22)*12,0,($AX18-AZ18))/$D$4))</f>
        <v>0</v>
      </c>
      <c r="AZ18" s="302">
        <f>IF(AZ19&gt;$AX19,(-FV($H18,($E18-$E19),0,(AZ19-$AX19)))+-FV($H18/12,($E18-$E19)*12,(AY19)*$D$4,0),-FV($H18/12,($E18-$E19)*12,(AY19)*$D$4,0))</f>
        <v>0</v>
      </c>
      <c r="BA18" s="301">
        <f>IF(D18=0,0,P18)</f>
        <v>0</v>
      </c>
      <c r="BB18" s="293">
        <f>IF(BA22=E18,0,-PMT($H18/12,($E18-BA22)*12,0,$BA18/$D$4))</f>
        <v>0</v>
      </c>
      <c r="BC18" s="310"/>
      <c r="BD18" s="466">
        <f>IF(D18&gt;0,E18,IF(D19&gt;0,E19,0))</f>
        <v>0</v>
      </c>
      <c r="BE18" s="307">
        <f>CEILING(SUM(BE12:BE17),0.01)</f>
        <v>0</v>
      </c>
      <c r="BG18" s="469">
        <f>IF(D20&gt;0,E20,IF(D21&gt;0,E21,IF(D22&gt;0,E22,IF(D23&gt;0,E23,IF(D24&gt;0,E24,IF(D25&gt;0,E25,IF(D26&gt;0,E26,0)))))))</f>
        <v>0</v>
      </c>
      <c r="BJ18" s="470">
        <f>IF(D27&gt;0,E27,IF(D28&gt;0,E28,IF(D29&gt;0,E29,IF(D30&gt;0,E30,IF(D31&gt;0,E31,0)))))</f>
        <v>0</v>
      </c>
      <c r="BM18" s="466">
        <f>IF(BM15&gt;0,BM15,IF(BM16&gt;0,BM16,IF(BM17&gt;0,BM17,0)))</f>
        <v>0</v>
      </c>
      <c r="BP18" s="345"/>
      <c r="BS18" s="35"/>
      <c r="BT18" s="35"/>
      <c r="BU18" s="467">
        <f>IF(SUM(BW19:$BW$31)=0,BX18,0)</f>
        <v>0</v>
      </c>
      <c r="BV18" s="467"/>
      <c r="BW18" s="465">
        <f>IF(AND(NOT(O19="L"),BB$12&gt;0),1,0)</f>
        <v>0</v>
      </c>
      <c r="BX18" s="465">
        <f>IF(AND(SUM(BY18:CA18)&gt;0,SUM($J$12:J17)=0),1,0)</f>
        <v>0</v>
      </c>
      <c r="BY18" s="360">
        <f>IF(AND(R18&gt;0,SUM($R$12:R17)=0),1,IF(AND(U18&gt;0,SUM($U$12:U17)=0),1,IF(AND(X18&gt;0,SUM($X$12:X17)=0),1,IF(AND(AA18&gt;0,SUM($AA$12:AA17)=0),1,IF(AND(AD18&gt;0,SUM($AD$12:AD17)=0),1,IF(AND($AG18&gt;0,SUM($AG$12:AG17)=0),1,0))))))</f>
        <v>0</v>
      </c>
      <c r="BZ18" s="360">
        <f>IF(AND(AJ18&gt;0,SUM($AJ$12:AJ17)=0),1,IF(AND(AM18&gt;0,SUM($AM$12:AM17)=0),1,IF(AND(AP18&gt;0,SUM($AP$12:AP17)=0),1,IF(AND(AS18&gt;0,SUM($AS$12:AS17)=0),1,IF(AND(AV18&gt;0,SUM($AV$12:AV17)=0),1,IF(AND($AY18&gt;0,SUM($AY$12:AY17)=0),1,0))))))</f>
        <v>0</v>
      </c>
      <c r="CA18" s="360">
        <f>IF(AND(BB18&gt;0,SUM($BB$12:BB17)=0),1,IF(AND(BE18&gt;0,SUM($BE$12:BE17)=0),1,IF(AND(BH18&gt;0,SUM($BH$12:BH17)=0),1,IF(AND(BK18&gt;0,SUM($BK$12:BK17)=0),1,IF(AND(BN18&gt;0,SUM($BN$12:BN17)=0),1,IF(AND(BQ18&gt;0,SUM($BQ$12:BQ17)=0),1,0))))))</f>
        <v>0</v>
      </c>
    </row>
    <row r="19" spans="2:79" ht="13.5" customHeight="1" thickBot="1">
      <c r="B19" s="12">
        <v>8</v>
      </c>
      <c r="C19" s="499"/>
      <c r="D19" s="399"/>
      <c r="E19" s="400"/>
      <c r="F19" s="401"/>
      <c r="G19" s="327">
        <f t="shared" si="0"/>
      </c>
      <c r="H19" s="395"/>
      <c r="I19" s="281"/>
      <c r="J19" s="141">
        <f t="shared" si="29"/>
        <v>0</v>
      </c>
      <c r="K19" s="142">
        <f>IF(K20&gt;P20,(-FV(H19,(E19-E20),0,(K20-P20)))+-FV(H19/12,(E19-E20)*12,SUM(J20:$J$31)*$D$4,0),-FV(H19/12,(N19-N20)*12,SUM(J20:$J$31)*$D$4,0))</f>
        <v>0</v>
      </c>
      <c r="L19" s="11"/>
      <c r="M19" s="318"/>
      <c r="N19" s="326">
        <f t="shared" si="27"/>
        <v>0</v>
      </c>
      <c r="O19" s="117" t="str">
        <f>IF(AND($BU$31=1,D19&gt;0,E19=$E$31),$E$31,IF(D19=0,O20,IF(AND(NOT(E19=$E$12),NOT($D$7=""),SUM($D$12:D18)&gt;0,BU19&gt;0),E19,"L")))</f>
        <v>L</v>
      </c>
      <c r="P19" s="13">
        <f t="shared" si="30"/>
        <v>0</v>
      </c>
      <c r="Q19" s="289">
        <f>IF(D19=0,0,P19)</f>
        <v>0</v>
      </c>
      <c r="R19" s="290">
        <f t="shared" si="2"/>
        <v>0</v>
      </c>
      <c r="S19" s="291">
        <f>IF(S20&gt;Q20,(-FV(H19,(E19-E20),0,(S20-Q20)))+-FV(H19/12,(E19-E20)*12,SUM(R20:$R$30)*$D$4,0),-FV(H19/12,(E19-E20)*12,SUM(R20:$R$30)*$D$4,0))</f>
        <v>0</v>
      </c>
      <c r="T19" s="343">
        <f>IF(D19=0,0,P19)</f>
        <v>0</v>
      </c>
      <c r="U19" s="299">
        <f t="shared" si="4"/>
        <v>0</v>
      </c>
      <c r="V19" s="302">
        <f>IF(V20&gt;$T20,(-FV($H19,($E19-$E20),0,(V20-$T20)))+-FV($H19/12,($E19-$E20)*12,SUM(U20:$U$29)*$D$4,0),-FV($H19/12,($E19-$E20)*12,SUM(U20:$U$29)*$D$4,0))</f>
        <v>0</v>
      </c>
      <c r="W19" s="393">
        <f>IF(D19=0,0,P19)</f>
        <v>0</v>
      </c>
      <c r="X19" s="293">
        <f t="shared" si="6"/>
        <v>0</v>
      </c>
      <c r="Y19" s="294">
        <f>IF(Y20&gt;$W20,(-FV($H19,($E19-$E20),0,(Y20-$W20)))+-FV($H19/12,($E19-$E20)*12,SUM(X20:$X$28)*$D$4,0),-FV($H19/12,($E19-$E20)*12,SUM(X20:$X$28)*$D$4,0))</f>
        <v>0</v>
      </c>
      <c r="Z19" s="420">
        <f>IF(D19=0,0,P19)</f>
        <v>0</v>
      </c>
      <c r="AA19" s="299">
        <f t="shared" si="28"/>
        <v>0</v>
      </c>
      <c r="AB19" s="300">
        <f>IF(AB20&gt;$Z20,(-FV($H19,($E19-$E20),0,(AB20-$Z20)))+-FV($H19/12,($E19-$E20)*12,SUM(AA20:$AA$27)*$D$4,0),-FV($H19/12,($E19-$E20)*12,SUM(AA20:$AA$27)*$D$4,0))</f>
        <v>0</v>
      </c>
      <c r="AC19" s="297">
        <f>IF(D19=0,0,P19)</f>
        <v>0</v>
      </c>
      <c r="AD19" s="290">
        <f t="shared" si="9"/>
        <v>0</v>
      </c>
      <c r="AE19" s="291">
        <f>IF(AE20&gt;$AC20,(-FV($H19,($E19-$E20),0,(AE20-$AC20)))+-FV($H19/12,($E19-$E20)*12,SUM(AD20:AD$26)*$D$4,0),-FV($H19/12,($E19-$E20)*12,SUM(AD20:AD$26)*$D$4,0))</f>
        <v>0</v>
      </c>
      <c r="AF19" s="298">
        <f>IF(D19=0,0,P19)</f>
        <v>0</v>
      </c>
      <c r="AG19" s="299">
        <f t="shared" si="11"/>
        <v>0</v>
      </c>
      <c r="AH19" s="300">
        <f>IF(AH20&gt;$AF20,(-FV($H19,($E19-$E20),0,(AH20-$AF20)))+-FV($H19/12,($E19-$E20)*12,SUM(AG20:AG$25)*$D$4,0),-FV($H19/12,($E19-$E20)*12,SUM(AG20:AG$25)*$D$4,0))</f>
        <v>0</v>
      </c>
      <c r="AI19" s="301">
        <f>IF(D19=0,0,P19)</f>
        <v>0</v>
      </c>
      <c r="AJ19" s="293">
        <f t="shared" si="13"/>
        <v>0</v>
      </c>
      <c r="AK19" s="294">
        <f>IF(AK20&gt;$AI20,(-FV($H19,($E19-$E20),0,(AK20-$AI20)))+-FV($H19/12,($E19-$E20)*12,SUM(AJ20:AJ$24)*$D$4,0),-FV($H19/12,($E19-$E20)*12,SUM(AJ20:AJ$24)*$D$4,0))</f>
        <v>0</v>
      </c>
      <c r="AL19" s="298">
        <f>IF(D19=0,0,P19)</f>
        <v>0</v>
      </c>
      <c r="AM19" s="299">
        <f t="shared" si="15"/>
        <v>0</v>
      </c>
      <c r="AN19" s="302">
        <f>IF(AN20&gt;$AL20,(-FV($H19,($E19-$E20),0,(AN20-$AL20)))+-FV($H19/12,($E19-$E20)*12,SUM(AM20:AM$23)*$D$4,0),-FV($H19/12,($E19-$E20)*12,SUM(AM20:AM$23)*$D$4,0))</f>
        <v>0</v>
      </c>
      <c r="AO19" s="301">
        <f>IF(D19=0,0,P19)</f>
        <v>0</v>
      </c>
      <c r="AP19" s="293">
        <f t="shared" si="17"/>
        <v>0</v>
      </c>
      <c r="AQ19" s="294">
        <f>IF(AQ20&gt;$AO20,(-FV($H19,($E19-$E20),0,(AQ20-$AO20)))+-FV($H19/12,($E19-$E20)*12,SUM(AP20:AP$22)*$D$4,0),-FV($H19/12,($E19-$E20)*12,SUM(AP20:AP$22)*$D$4,0))</f>
        <v>0</v>
      </c>
      <c r="AR19" s="329">
        <f>IF(D19=0,0,P19)</f>
        <v>0</v>
      </c>
      <c r="AS19" s="299">
        <f t="shared" si="19"/>
        <v>0</v>
      </c>
      <c r="AT19" s="300">
        <f>IF(AT20&gt;$AR20,(-FV($H19,($E19-$E20),0,(AT20-$AR20)))+-FV($H19/12,($E19-$E20)*12,SUM(AS20:AS$21)*$D$4,0),-FV($H19/12,($E19-$E20)*12,SUM(AS20:AS$21)*$D$4,0))</f>
        <v>0</v>
      </c>
      <c r="AU19" s="301">
        <f>IF(D19=0,0,P19)</f>
        <v>0</v>
      </c>
      <c r="AV19" s="293">
        <f>IF($AV$20=0,0,IF(AW19&gt;=$AU19,0,-PMT($H19/12,($E19-$AU$23)*12,0,($AU19-AW19))/$D$4))</f>
        <v>0</v>
      </c>
      <c r="AW19" s="294">
        <f>IF(AW20&gt;$AU20,(-FV($H19,($E19-$E20),0,(AW20-$AU20)))+-FV($H19/12,($E19-$E20)*12,(AV20)*$D$4,0),-FV($H19/12,($E19-$E20)*12,(AV20)*$D$4,0))</f>
        <v>0</v>
      </c>
      <c r="AX19" s="298">
        <f>IF(D19=0,0,P19)</f>
        <v>0</v>
      </c>
      <c r="AY19" s="299">
        <f>IF(AX22=E19,0,-PMT($H19/12,($E19-AX22)*12,0,$AX19/$D$4))</f>
        <v>0</v>
      </c>
      <c r="AZ19" s="309"/>
      <c r="BA19" s="466">
        <f>IF(D19&gt;0,E19,0)</f>
        <v>0</v>
      </c>
      <c r="BB19" s="328">
        <f>CEILING(SUM(BB12:BB18),0.01)</f>
        <v>0</v>
      </c>
      <c r="BD19" s="466">
        <f>IF(D20&gt;0,E20,IF(D21&gt;0,E21,IF(D22&gt;0,E22,IF(D23&gt;0,E23,IF(D24&gt;0,E24,IF(D25&gt;0,E25,IF(D26&gt;0,E26,0)))))))</f>
        <v>0</v>
      </c>
      <c r="BG19" s="470">
        <f>IF(D27&gt;0,E27,IF(D28&gt;0,E28,IF(D29&gt;0,E29,IF(D30&gt;0,E30,IF(D31&gt;0,E31,0)))))</f>
        <v>0</v>
      </c>
      <c r="BJ19" s="466">
        <f>IF(BJ16&gt;0,BJ16,IF(BJ17&gt;0,BJ17,IF(BJ18&gt;0,BJ18,0)))</f>
        <v>0</v>
      </c>
      <c r="BM19" s="345"/>
      <c r="BU19" s="467">
        <f>IF(SUM(BW20:$BW$31)=0,BX19,0)</f>
        <v>0</v>
      </c>
      <c r="BV19" s="467"/>
      <c r="BW19" s="465">
        <f>IF(AND(NOT(O20="L"),AY$12&gt;0),1,0)</f>
        <v>0</v>
      </c>
      <c r="BX19" s="465">
        <f>IF(AND(SUM(BY19:CA19)&gt;0,SUM($J$12:J18)=0),1,0)</f>
        <v>0</v>
      </c>
      <c r="BY19" s="360">
        <f>IF(AND(R19&gt;0,SUM($R$12:R18)=0),1,IF(AND(U19&gt;0,SUM($U$12:U18)=0),1,IF(AND(X19&gt;0,SUM($X$12:X18)=0),1,IF(AND(AA19&gt;0,SUM($AA$12:AA18)=0),1,IF(AND(AD19&gt;0,SUM($AD$12:AD18)=0),1,IF(AND($AG19&gt;0,SUM($AG$12:AG18)=0),1,0))))))</f>
        <v>0</v>
      </c>
      <c r="BZ19" s="360">
        <f>IF(AND(AJ19&gt;0,SUM($AJ$12:AJ18)=0),1,IF(AND(AM19&gt;0,SUM($AM$12:AM18)=0),1,IF(AND(AP19&gt;0,SUM($AP$12:AP18)=0),1,IF(AND(AS19&gt;0,SUM($AS$12:AS18)=0),1,IF(AND(AV19&gt;0,SUM($AV$12:AV18)=0),1,IF(AND($AY19&gt;0,SUM($AY$12:AY18)=0),1,0))))))</f>
        <v>0</v>
      </c>
      <c r="CA19" s="360">
        <f>IF(AND(BB19&gt;0,SUM($BB$12:BB18)=0),1,IF(AND(BE19&gt;0,SUM($BE$12:BE18)=0),1,IF(AND(BH19&gt;0,SUM($BH$12:BH18)=0),1,IF(AND(BK19&gt;0,SUM($BK$12:BK18)=0),1,IF(AND(BN19&gt;0,SUM($BN$12:BN18)=0),1,IF(AND(BQ19&gt;0,SUM($BQ$12:BQ18)=0),1,0))))))</f>
        <v>0</v>
      </c>
    </row>
    <row r="20" spans="2:79" ht="13.5" customHeight="1" thickBot="1">
      <c r="B20" s="12">
        <v>9</v>
      </c>
      <c r="C20" s="499"/>
      <c r="D20" s="399"/>
      <c r="E20" s="400"/>
      <c r="F20" s="401"/>
      <c r="G20" s="327">
        <f t="shared" si="0"/>
      </c>
      <c r="H20" s="395"/>
      <c r="I20" s="281"/>
      <c r="J20" s="141">
        <f t="shared" si="29"/>
        <v>0</v>
      </c>
      <c r="K20" s="142">
        <f>IF(K21&gt;P21,(-FV(H20,(E20-E21),0,(K21-P21)))+-FV(H20/12,(E20-E21)*12,SUM(J21:$J$31)*$D$4,0),-FV(H20/12,(N20-N21)*12,SUM(J21:$J$31)*$D$4,0))</f>
        <v>0</v>
      </c>
      <c r="L20" s="11"/>
      <c r="M20" s="318"/>
      <c r="N20" s="326">
        <f t="shared" si="27"/>
        <v>0</v>
      </c>
      <c r="O20" s="117" t="str">
        <f>IF(AND($BU$31=1,D20&gt;0,E20=$E$31),$E$31,IF(D20=0,O21,IF(AND(NOT(E20=$E$12),NOT($D$7=""),SUM($D$12:D19)&gt;0,BU20&gt;0),E20,"L")))</f>
        <v>L</v>
      </c>
      <c r="P20" s="13">
        <f t="shared" si="30"/>
        <v>0</v>
      </c>
      <c r="Q20" s="289">
        <f>IF(D20=0,0,P20)</f>
        <v>0</v>
      </c>
      <c r="R20" s="290">
        <f t="shared" si="2"/>
        <v>0</v>
      </c>
      <c r="S20" s="291">
        <f>IF(S21&gt;Q21,(-FV(H20,(E20-E21),0,(S21-Q21)))+-FV(H20/12,(E20-E21)*12,SUM(R21:$R$30)*$D$4,0),-FV(H20/12,(E20-E21)*12,SUM(R21:$R$30)*$D$4,0))</f>
        <v>0</v>
      </c>
      <c r="T20" s="343">
        <f>IF(D20=0,0,P20)</f>
        <v>0</v>
      </c>
      <c r="U20" s="299">
        <f t="shared" si="4"/>
        <v>0</v>
      </c>
      <c r="V20" s="302">
        <f>IF(V21&gt;$T21,(-FV($H20,($E20-$E21),0,(V21-$T21)))+-FV($H20/12,($E20-$E21)*12,SUM(U21:$U$29)*$D$4,0),-FV($H20/12,($E20-$E21)*12,SUM(U21:$U$29)*$D$4,0))</f>
        <v>0</v>
      </c>
      <c r="W20" s="393">
        <f>IF(D20=0,0,P20)</f>
        <v>0</v>
      </c>
      <c r="X20" s="293">
        <f t="shared" si="6"/>
        <v>0</v>
      </c>
      <c r="Y20" s="294">
        <f>IF(Y21&gt;$W21,(-FV($H20,($E20-$E21),0,(Y21-$W21)))+-FV($H20/12,($E20-$E21)*12,SUM(X21:$X$28)*$D$4,0),-FV($H20/12,($E20-$E21)*12,SUM(X21:$X$28)*$D$4,0))</f>
        <v>0</v>
      </c>
      <c r="Z20" s="420">
        <f>IF(D20=0,0,P20)</f>
        <v>0</v>
      </c>
      <c r="AA20" s="299">
        <f t="shared" si="28"/>
        <v>0</v>
      </c>
      <c r="AB20" s="300">
        <f>IF(AB21&gt;$Z21,(-FV($H20,($E20-$E21),0,(AB21-$Z21)))+-FV($H20/12,($E20-$E21)*12,SUM(AA21:$AA$27)*$D$4,0),-FV($H20/12,($E20-$E21)*12,SUM(AA21:$AA$27)*$D$4,0))</f>
        <v>0</v>
      </c>
      <c r="AC20" s="297">
        <f>IF(D20=0,0,P20)</f>
        <v>0</v>
      </c>
      <c r="AD20" s="290">
        <f t="shared" si="9"/>
        <v>0</v>
      </c>
      <c r="AE20" s="291">
        <f>IF(AE21&gt;$AC21,(-FV($H20,($E20-$E21),0,(AE21-$AC21)))+-FV($H20/12,($E20-$E21)*12,SUM(AD21:AD$26)*$D$4,0),-FV($H20/12,($E20-$E21)*12,SUM(AD21:AD$26)*$D$4,0))</f>
        <v>0</v>
      </c>
      <c r="AF20" s="298">
        <f>IF(D20=0,0,P20)</f>
        <v>0</v>
      </c>
      <c r="AG20" s="299">
        <f t="shared" si="11"/>
        <v>0</v>
      </c>
      <c r="AH20" s="300">
        <f>IF(AH21&gt;$AF21,(-FV($H20,($E20-$E21),0,(AH21-$AF21)))+-FV($H20/12,($E20-$E21)*12,SUM(AG21:AG$25)*$D$4,0),-FV($H20/12,($E20-$E21)*12,SUM(AG21:AG$25)*$D$4,0))</f>
        <v>0</v>
      </c>
      <c r="AI20" s="301">
        <f>IF(D20=0,0,P20)</f>
        <v>0</v>
      </c>
      <c r="AJ20" s="293">
        <f t="shared" si="13"/>
        <v>0</v>
      </c>
      <c r="AK20" s="294">
        <f>IF(AK21&gt;$AI21,(-FV($H20,($E20-$E21),0,(AK21-$AI21)))+-FV($H20/12,($E20-$E21)*12,SUM(AJ21:AJ$24)*$D$4,0),-FV($H20/12,($E20-$E21)*12,SUM(AJ21:AJ$24)*$D$4,0))</f>
        <v>0</v>
      </c>
      <c r="AL20" s="298">
        <f>IF(D20=0,0,P20)</f>
        <v>0</v>
      </c>
      <c r="AM20" s="299">
        <f t="shared" si="15"/>
        <v>0</v>
      </c>
      <c r="AN20" s="302">
        <f>IF(AN21&gt;$AL21,(-FV($H20,($E20-$E21),0,(AN21-$AL21)))+-FV($H20/12,($E20-$E21)*12,SUM(AM21:AM$23)*$D$4,0),-FV($H20/12,($E20-$E21)*12,SUM(AM21:AM$23)*$D$4,0))</f>
        <v>0</v>
      </c>
      <c r="AO20" s="301">
        <f>IF(D20=0,0,P20)</f>
        <v>0</v>
      </c>
      <c r="AP20" s="293">
        <f t="shared" si="17"/>
        <v>0</v>
      </c>
      <c r="AQ20" s="294">
        <f>IF(AQ21&gt;$AO21,(-FV($H20,($E20-$E21),0,(AQ21-$AO21)))+-FV($H20/12,($E20-$E21)*12,SUM(AP21:AP$22)*$D$4,0),-FV($H20/12,($E20-$E21)*12,SUM(AP21:AP$22)*$D$4,0))</f>
        <v>0</v>
      </c>
      <c r="AR20" s="329">
        <f>IF(D20=0,0,P20)</f>
        <v>0</v>
      </c>
      <c r="AS20" s="299">
        <f>IF($AS$21=0,0,IF(AT20&gt;=$AR20,0,-PMT($H20/12,($E20-$AR$24)*12,0,($AR20-AT20))/$D$4))</f>
        <v>0</v>
      </c>
      <c r="AT20" s="300">
        <f>IF(AT21&gt;$AR21,(-FV($H20,($E20-$E21),0,(AT21-$AR21)))+-FV($H20/12,($E20-$E21)*12,(AS$21)*$D$4,0),-FV($H20/12,($E20-$E21)*12,(AS$21)*$D$4,0))</f>
        <v>0</v>
      </c>
      <c r="AU20" s="301">
        <f>IF(D20=0,0,P20)</f>
        <v>0</v>
      </c>
      <c r="AV20" s="293">
        <f>IF(AU23=E20,0,-PMT($H20/12,($E20-AU23)*12,0,AU20/$D$4))</f>
        <v>0</v>
      </c>
      <c r="AW20" s="418"/>
      <c r="AX20" s="415">
        <f>IF(D20&gt;0,E20,IF(D21&gt;0,E21,IF(D22&gt;0,E22,IF(D23&gt;0,E23,IF(D24&gt;0,E24,IF(D25&gt;0,E25,IF(D26&gt;0,E26,0)))))))</f>
        <v>0</v>
      </c>
      <c r="AY20" s="307">
        <f>CEILING(SUM(AY12:AY19),0.01)</f>
        <v>0</v>
      </c>
      <c r="BA20" s="466">
        <f>IF(D20&gt;0,E20,IF(D21&gt;0,E21,IF(D22&gt;0,E22,IF(D23&gt;0,E23,IF(D24&gt;0,E24,IF(D25&gt;0,E25,IF(D26&gt;0,E26,0)))))))</f>
        <v>0</v>
      </c>
      <c r="BD20" s="466">
        <f>IF(D27&gt;0,E27,IF(D28&gt;0,E28,IF(D29&gt;0,E29,IF(D30&gt;0,E30,IF(D31&gt;0,E31,0)))))</f>
        <v>0</v>
      </c>
      <c r="BG20" s="466">
        <f>IF(BG17&gt;0,BG17,IF(BG18&gt;0,BG18,IF(BG19&gt;0,BG19,0)))</f>
        <v>0</v>
      </c>
      <c r="BJ20" s="345"/>
      <c r="BU20" s="467">
        <f>IF(SUM(BW21:$BW$31)=0,BX20,0)</f>
        <v>0</v>
      </c>
      <c r="BV20" s="467"/>
      <c r="BW20" s="465">
        <f>IF(AND(NOT(O21="L"),AV$12&gt;0),1,0)</f>
        <v>0</v>
      </c>
      <c r="BX20" s="465">
        <f>IF(AND(SUM(BY20:CA20)&gt;0,SUM($J$12:J19)=0),1,0)</f>
        <v>0</v>
      </c>
      <c r="BY20" s="360">
        <f>IF(AND(R20&gt;0,SUM($R$12:R19)=0),1,IF(AND(U20&gt;0,SUM($U$12:U19)=0),1,IF(AND(X20&gt;0,SUM($X$12:X19)=0),1,IF(AND(AA20&gt;0,SUM($AA$12:AA19)=0),1,IF(AND(AD20&gt;0,SUM($AD$12:AD19)=0),1,IF(AND($AG20&gt;0,SUM($AG$12:AG19)=0),1,0))))))</f>
        <v>0</v>
      </c>
      <c r="BZ20" s="360">
        <f>IF(AND(AJ20&gt;0,SUM($AJ$12:AJ19)=0),1,IF(AND(AM20&gt;0,SUM($AM$12:AM19)=0),1,IF(AND(AP20&gt;0,SUM($AP$12:AP19)=0),1,IF(AND(AS20&gt;0,SUM($AS$12:AS19)=0),1,IF(AND(AV20&gt;0,SUM($AV$12:AV19)=0),1,IF(AND($AY20&gt;0,SUM($AY$12:AY19)=0),1,0))))))</f>
        <v>0</v>
      </c>
      <c r="CA20" s="360">
        <f>IF(AND(BB20&gt;0,SUM($BB$12:BB19)=0),1,IF(AND(BE20&gt;0,SUM($BE$12:BE19)=0),1,IF(AND(BH20&gt;0,SUM($BH$12:BH19)=0),1,IF(AND(BK20&gt;0,SUM($BK$12:BK19)=0),1,IF(AND(BN20&gt;0,SUM($BN$12:BN19)=0),1,IF(AND(BQ20&gt;0,SUM($BQ$12:BQ19)=0),1,0))))))</f>
        <v>0</v>
      </c>
    </row>
    <row r="21" spans="2:79" ht="13.5" customHeight="1" thickBot="1">
      <c r="B21" s="12">
        <v>10</v>
      </c>
      <c r="C21" s="499"/>
      <c r="D21" s="399"/>
      <c r="E21" s="400"/>
      <c r="F21" s="401"/>
      <c r="G21" s="327">
        <f t="shared" si="0"/>
      </c>
      <c r="H21" s="395"/>
      <c r="I21" s="281"/>
      <c r="J21" s="141">
        <f>IF(K21&gt;=P21,0,-PMT(H21/12,(E21)*12,0,(P21-K21))/$D$4)</f>
        <v>0</v>
      </c>
      <c r="K21" s="142">
        <f>IF(K22&gt;P22,(-FV(H21,(E21-E22),0,(K22-P22)))+-FV(H21/12,(E21-E22)*12,SUM(J22:$J$31)*$D$4,0),-FV(H21/12,(N21-N22)*12,SUM(J22:$J$31)*$D$4,0))</f>
        <v>0</v>
      </c>
      <c r="L21" s="11"/>
      <c r="M21" s="318"/>
      <c r="N21" s="326">
        <f t="shared" si="27"/>
        <v>0</v>
      </c>
      <c r="O21" s="117" t="str">
        <f>IF(AND($BU$31=1,D21&gt;0,E21=$E$31),$E$31,IF(D21=0,O22,IF(AND(NOT(E21=$E$12),NOT($D$7=""),SUM($D$12:D20)&gt;0,BU21&gt;0),E21,"L")))</f>
        <v>L</v>
      </c>
      <c r="P21" s="13">
        <f t="shared" si="30"/>
        <v>0</v>
      </c>
      <c r="Q21" s="289">
        <f>IF(D21=0,0,P21)</f>
        <v>0</v>
      </c>
      <c r="R21" s="290">
        <f t="shared" si="2"/>
        <v>0</v>
      </c>
      <c r="S21" s="291">
        <f>IF(S22&gt;Q22,(-FV(H21,(E21-E22),0,(S22-Q22)))+-FV(H21/12,(E21-E22)*12,SUM(R22:$R$30)*$D$4,0),-FV(H21/12,(E21-E22)*12,SUM(R22:$R$30)*$D$4,0))</f>
        <v>0</v>
      </c>
      <c r="T21" s="343">
        <f>IF(D21=0,0,P21)</f>
        <v>0</v>
      </c>
      <c r="U21" s="299">
        <f t="shared" si="4"/>
        <v>0</v>
      </c>
      <c r="V21" s="302">
        <f>IF(V22&gt;$T22,(-FV($H21,($E21-$E22),0,(V22-$T22)))+-FV($H21/12,($E21-$E22)*12,SUM(U22:$U$29)*$D$4,0),-FV($H21/12,($E21-$E22)*12,SUM(U22:$U$29)*$D$4,0))</f>
        <v>0</v>
      </c>
      <c r="W21" s="393">
        <f>IF(D21=0,0,P21)</f>
        <v>0</v>
      </c>
      <c r="X21" s="293">
        <f t="shared" si="6"/>
        <v>0</v>
      </c>
      <c r="Y21" s="294">
        <f>IF(Y22&gt;$W22,(-FV($H21,($E21-$E22),0,(Y22-$W22)))+-FV($H21/12,($E21-$E22)*12,SUM(X22:$X$28)*$D$4,0),-FV($H21/12,($E21-$E22)*12,SUM(X22:$X$28)*$D$4,0))</f>
        <v>0</v>
      </c>
      <c r="Z21" s="420">
        <f>IF(D21=0,0,P21)</f>
        <v>0</v>
      </c>
      <c r="AA21" s="299">
        <f t="shared" si="28"/>
        <v>0</v>
      </c>
      <c r="AB21" s="300">
        <f>IF(AB22&gt;$Z22,(-FV($H21,($E21-$E22),0,(AB22-$Z22)))+-FV($H21/12,($E21-$E22)*12,SUM(AA22:$AA$27)*$D$4,0),-FV($H21/12,($E21-$E22)*12,SUM(AA22:$AA$27)*$D$4,0))</f>
        <v>0</v>
      </c>
      <c r="AC21" s="297">
        <f>IF(D21=0,0,P21)</f>
        <v>0</v>
      </c>
      <c r="AD21" s="290">
        <f t="shared" si="9"/>
        <v>0</v>
      </c>
      <c r="AE21" s="291">
        <f>IF(AE22&gt;$AC22,(-FV($H21,($E21-$E22),0,(AE22-$AC22)))+-FV($H21/12,($E21-$E22)*12,SUM(AD22:AD$26)*$D$4,0),-FV($H21/12,($E21-$E22)*12,SUM(AD22:AD$26)*$D$4,0))</f>
        <v>0</v>
      </c>
      <c r="AF21" s="298">
        <f>IF(D21=0,0,P21)</f>
        <v>0</v>
      </c>
      <c r="AG21" s="299">
        <f t="shared" si="11"/>
        <v>0</v>
      </c>
      <c r="AH21" s="300">
        <f>IF(AH22&gt;$AF22,(-FV($H21,($E21-$E22),0,(AH22-$AF22)))+-FV($H21/12,($E21-$E22)*12,SUM(AG22:AG$25)*$D$4,0),-FV($H21/12,($E21-$E22)*12,SUM(AG22:AG$25)*$D$4,0))</f>
        <v>0</v>
      </c>
      <c r="AI21" s="301">
        <f>IF(D21=0,0,P21)</f>
        <v>0</v>
      </c>
      <c r="AJ21" s="293">
        <f t="shared" si="13"/>
        <v>0</v>
      </c>
      <c r="AK21" s="294">
        <f>IF(AK22&gt;$AI22,(-FV($H21,($E21-$E22),0,(AK22-$AI22)))+-FV($H21/12,($E21-$E22)*12,SUM(AJ22:AJ$24)*$D$4,0),-FV($H21/12,($E21-$E22)*12,SUM(AJ22:AJ$24)*$D$4,0))</f>
        <v>0</v>
      </c>
      <c r="AL21" s="298">
        <f>IF(D21=0,0,P21)</f>
        <v>0</v>
      </c>
      <c r="AM21" s="299">
        <f t="shared" si="15"/>
        <v>0</v>
      </c>
      <c r="AN21" s="302">
        <f>IF(AN22&gt;$AL22,(-FV($H21,($E21-$E22),0,(AN22-$AL22)))+-FV($H21/12,($E21-$E22)*12,SUM(AM22:AM$23)*$D$4,0),-FV($H21/12,($E21-$E22)*12,SUM(AM22:AM$23)*$D$4,0))</f>
        <v>0</v>
      </c>
      <c r="AO21" s="301">
        <f>IF(D21=0,0,P21)</f>
        <v>0</v>
      </c>
      <c r="AP21" s="293">
        <f>IF($AP$22=0,0,IF(AQ21&gt;=$AO21,0,-PMT($H21/12,($E21-$AO$25)*12,0,($AO21-AQ21))/$D$4))</f>
        <v>0</v>
      </c>
      <c r="AQ21" s="294">
        <f>IF(AQ22&gt;$AO22,(-FV($H21,($E21-$E22),0,(AQ22-$AO22)))+-FV($H21/12,($E21-$E22)*12,(AP22)*$D$4,0),-FV($H21/12,($E21-$E22)*12,(AP22)*$D$4,0))</f>
        <v>0</v>
      </c>
      <c r="AR21" s="329">
        <f>IF(D21=0,0,P21)</f>
        <v>0</v>
      </c>
      <c r="AS21" s="299">
        <f>IF($AR$24=E21,0,-PMT($H21/12,($E21-AR24)*12,0,AR21/$D$4))</f>
        <v>0</v>
      </c>
      <c r="AT21" s="309"/>
      <c r="AU21" s="336">
        <f>IF(D21&gt;0,E21,IF(D22&gt;0,E22,IF(D23&gt;0,E23,IF(D24&gt;0,E24,IF(D25&gt;0,E25,IF(D26&gt;0,E26,0))))))</f>
        <v>0</v>
      </c>
      <c r="AV21" s="417">
        <f>CEILING(SUM(AV12:AV20),0.01)</f>
        <v>0</v>
      </c>
      <c r="AX21" s="416">
        <f>IF(D27&gt;0,E27,IF(D28&gt;0,E28,IF(D29&gt;0,E29,IF(D30&gt;0,E30,IF(D31&gt;0,E31,0)))))</f>
        <v>0</v>
      </c>
      <c r="BA21" s="466">
        <f>IF(D27&gt;0,E27,IF(D28&gt;0,E28,IF(D29&gt;0,E29,IF(D30&gt;0,E30,IF(D31&gt;0,E31,0)))))</f>
        <v>0</v>
      </c>
      <c r="BD21" s="466">
        <f>IF(BD18&gt;0,BD18,IF(BD19&gt;0,BD19,IF(BD20&gt;0,BD20,0)))</f>
        <v>0</v>
      </c>
      <c r="BG21" s="345"/>
      <c r="BM21" s="35"/>
      <c r="BU21" s="467">
        <f>IF(SUM(BW22:$BW$31)=0,BX21,0)</f>
        <v>0</v>
      </c>
      <c r="BV21" s="467"/>
      <c r="BW21" s="465">
        <f>IF(AND(NOT(O22="L"),AS$12&gt;0),1,0)</f>
        <v>0</v>
      </c>
      <c r="BX21" s="465">
        <f>IF(AND(SUM(BY21:CA21)&gt;0,SUM($J$12:J20)=0),1,0)</f>
        <v>0</v>
      </c>
      <c r="BY21" s="360">
        <f>IF(AND(R21&gt;0,SUM($R$12:R20)=0),1,IF(AND(U21&gt;0,SUM($U$12:U20)=0),1,IF(AND(X21&gt;0,SUM($X$12:X20)=0),1,IF(AND(AA21&gt;0,SUM($AA$12:AA20)=0),1,IF(AND(AD21&gt;0,SUM($AD$12:AD20)=0),1,IF(AND($AG21&gt;0,SUM($AG$12:AG20)=0),1,0))))))</f>
        <v>0</v>
      </c>
      <c r="BZ21" s="360">
        <f>IF(AND(AJ21&gt;0,SUM($AJ$12:AJ20)=0),1,IF(AND(AM21&gt;0,SUM($AM$12:AM20)=0),1,IF(AND(AP21&gt;0,SUM($AP$12:AP20)=0),1,IF(AND(AS21&gt;0,SUM($AS$12:AS20)=0),1,IF(AND(AV21&gt;0,SUM($AV$12:AV20)=0),1,IF(AND($AY21&gt;0,SUM($AY$12:AY20)=0),1,0))))))</f>
        <v>0</v>
      </c>
      <c r="CA21" s="360">
        <f>IF(AND(BB21&gt;0,SUM($BB$12:BB20)=0),1,IF(AND(BE21&gt;0,SUM($BE$12:BE20)=0),1,IF(AND(BH21&gt;0,SUM($BH$12:BH20)=0),1,IF(AND(BK21&gt;0,SUM($BK$12:BK20)=0),1,IF(AND(BN21&gt;0,SUM($BN$12:BN20)=0),1,IF(AND(BQ21&gt;0,SUM($BQ$12:BQ20)=0),1,0))))))</f>
        <v>0</v>
      </c>
    </row>
    <row r="22" spans="2:79" ht="13.5" customHeight="1" thickBot="1">
      <c r="B22" s="12">
        <v>11</v>
      </c>
      <c r="C22" s="499"/>
      <c r="D22" s="399"/>
      <c r="E22" s="400"/>
      <c r="F22" s="401"/>
      <c r="G22" s="327">
        <f t="shared" si="0"/>
      </c>
      <c r="H22" s="395"/>
      <c r="I22" s="281"/>
      <c r="J22" s="141">
        <f t="shared" si="29"/>
        <v>0</v>
      </c>
      <c r="K22" s="142">
        <f>IF(K23&gt;P23,(-FV(H22,(E22-E23),0,(K23-P23)))+-FV(H22/12,(E22-E23)*12,SUM(J23:$J$31)*$D$4,0),-FV(H22/12,(N22-N23)*12,SUM(J23:$J$31)*$D$4,0))</f>
        <v>0</v>
      </c>
      <c r="L22" s="11"/>
      <c r="N22" s="326">
        <f t="shared" si="27"/>
        <v>0</v>
      </c>
      <c r="O22" s="117" t="str">
        <f>IF(AND($BU$31=1,D22&gt;0,E22=$E$31),$E$31,IF(D22=0,O23,IF(AND(NOT(E22=$E$12),NOT($D$7=""),SUM($D$12:D21)&gt;0,BU22&gt;0),E22,"L")))</f>
        <v>L</v>
      </c>
      <c r="P22" s="13">
        <f t="shared" si="30"/>
        <v>0</v>
      </c>
      <c r="Q22" s="289">
        <f>IF(D22=0,0,P22)</f>
        <v>0</v>
      </c>
      <c r="R22" s="290">
        <f t="shared" si="2"/>
        <v>0</v>
      </c>
      <c r="S22" s="291">
        <f>IF(S23&gt;Q23,(-FV(H22,(E22-E23),0,(S23-Q23)))+-FV(H22/12,(E22-E23)*12,SUM(R23:$R$30)*$D$4,0),-FV(H22/12,(E22-E23)*12,SUM(R23:$R$30)*$D$4,0))</f>
        <v>0</v>
      </c>
      <c r="T22" s="343">
        <f>IF(D22=0,0,P22)</f>
        <v>0</v>
      </c>
      <c r="U22" s="299">
        <f t="shared" si="4"/>
        <v>0</v>
      </c>
      <c r="V22" s="302">
        <f>IF(V23&gt;$T23,(-FV($H22,($E22-$E23),0,(V23-$T23)))+-FV($H22/12,($E22-$E23)*12,SUM(U23:$U$29)*$D$4,0),-FV($H22/12,($E22-$E23)*12,SUM(U23:$U$29)*$D$4,0))</f>
        <v>0</v>
      </c>
      <c r="W22" s="393">
        <f>IF(D22=0,0,P22)</f>
        <v>0</v>
      </c>
      <c r="X22" s="293">
        <f t="shared" si="6"/>
        <v>0</v>
      </c>
      <c r="Y22" s="294">
        <f>IF(Y23&gt;$W23,(-FV($H22,($E22-$E23),0,(Y23-$W23)))+-FV($H22/12,($E22-$E23)*12,SUM(X23:$X$28)*$D$4,0),-FV($H22/12,($E22-$E23)*12,SUM(X23:$X$28)*$D$4,0))</f>
        <v>0</v>
      </c>
      <c r="Z22" s="420">
        <f>IF(D22=0,0,P22)</f>
        <v>0</v>
      </c>
      <c r="AA22" s="299">
        <f t="shared" si="28"/>
        <v>0</v>
      </c>
      <c r="AB22" s="300">
        <f>IF(AB23&gt;$Z23,(-FV($H22,($E22-$E23),0,(AB23-$Z23)))+-FV($H22/12,($E22-$E23)*12,SUM(AA23:$AA$27)*$D$4,0),-FV($H22/12,($E22-$E23)*12,SUM(AA23:$AA$27)*$D$4,0))</f>
        <v>0</v>
      </c>
      <c r="AC22" s="297">
        <f>IF(D22=0,0,P22)</f>
        <v>0</v>
      </c>
      <c r="AD22" s="290">
        <f t="shared" si="9"/>
        <v>0</v>
      </c>
      <c r="AE22" s="291">
        <f>IF(AE23&gt;$AC23,(-FV($H22,($E22-$E23),0,(AE23-$AC23)))+-FV($H22/12,($E22-$E23)*12,SUM(AD23:AD$26)*$D$4,0),-FV($H22/12,($E22-$E23)*12,SUM(AD23:AD$26)*$D$4,0))</f>
        <v>0</v>
      </c>
      <c r="AF22" s="298">
        <f>IF(D22=0,0,P22)</f>
        <v>0</v>
      </c>
      <c r="AG22" s="299">
        <f t="shared" si="11"/>
        <v>0</v>
      </c>
      <c r="AH22" s="300">
        <f>IF(AH23&gt;$AF23,(-FV($H22,($E22-$E23),0,(AH23-$AF23)))+-FV($H22/12,($E22-$E23)*12,SUM(AG23:AG$25)*$D$4,0),-FV($H22/12,($E22-$E23)*12,SUM(AG23:AG$25)*$D$4,0))</f>
        <v>0</v>
      </c>
      <c r="AI22" s="301">
        <f>IF(D22=0,0,P22)</f>
        <v>0</v>
      </c>
      <c r="AJ22" s="293">
        <f t="shared" si="13"/>
        <v>0</v>
      </c>
      <c r="AK22" s="294">
        <f>IF(AK23&gt;$AI23,(-FV($H22,($E22-$E23),0,(AK23-$AI23)))+-FV($H22/12,($E22-$E23)*12,SUM(AJ23:AJ$24)*$D$4,0),-FV($H22/12,($E22-$E23)*12,SUM(AJ23:AJ$24)*$D$4,0))</f>
        <v>0</v>
      </c>
      <c r="AL22" s="298">
        <f>IF(D22=0,0,P22)</f>
        <v>0</v>
      </c>
      <c r="AM22" s="299">
        <f>IF($AM$23=0,0,IF(AN22&gt;=$AL22,0,-PMT($H22/12,($E22-$AL$26)*12,0,($AL22-AN22))/$D$4))</f>
        <v>0</v>
      </c>
      <c r="AN22" s="302">
        <f>IF(AN23&gt;$AL23,(-FV($H22,($E22-$E23),0,(AN23-$AL23)))+-FV($H22/12,($E22-$E23)*12,(AM$23)*$D$4,0),-FV($H22/12,($E22-$E23)*12,(AM$23)*$D$4,0))</f>
        <v>0</v>
      </c>
      <c r="AO22" s="301">
        <f>IF(D22=0,0,P22)</f>
        <v>0</v>
      </c>
      <c r="AP22" s="293">
        <f>IF($AO$25=E22,0,-PMT($H22/12,($E22-AO25)*12,0,AO22/$D$4))</f>
        <v>0</v>
      </c>
      <c r="AQ22" s="418"/>
      <c r="AR22" s="414">
        <f>IF(D22&gt;0,E22,IF(D23&gt;0,E23,IF(D24&gt;0,E24,IF(D25&gt;0,E25,IF(D26&gt;0,E26,IF(D27&gt;0,E27,0))))))</f>
        <v>0</v>
      </c>
      <c r="AS22" s="307">
        <f>CEILING(SUM(AS12:AS21),0.01)</f>
        <v>0</v>
      </c>
      <c r="AU22" s="336">
        <f>IF(D27&gt;0,E27,IF(D28&gt;0,E28,IF(D29&gt;0,E29,IF(D30&gt;0,E30,IF(D31&gt;0,E31,0)))))</f>
        <v>0</v>
      </c>
      <c r="AX22" s="466">
        <f>IF(AX20&gt;0,AX20,IF(AX21&gt;0,AX21,0))</f>
        <v>0</v>
      </c>
      <c r="BA22" s="466">
        <f>IF(BA19&gt;0,BA19,IF(BA20&gt;0,BA20,IF(BA21&gt;0,BA21,0)))</f>
        <v>0</v>
      </c>
      <c r="BD22" s="345"/>
      <c r="BG22" s="35"/>
      <c r="BJ22" s="35"/>
      <c r="BM22" s="35"/>
      <c r="BU22" s="467">
        <f>IF(SUM(BW23:$BW$31)=0,BX22,0)</f>
        <v>0</v>
      </c>
      <c r="BV22" s="467"/>
      <c r="BW22" s="465">
        <f>IF(AND(NOT(O23="L"),AP$12&gt;0),1,0)</f>
        <v>0</v>
      </c>
      <c r="BX22" s="465">
        <f>IF(AND(SUM(BY22:CA22)&gt;0,SUM($J$12:J21)=0),1,0)</f>
        <v>0</v>
      </c>
      <c r="BY22" s="360">
        <f>IF(AND(R22&gt;0,SUM($R$12:R21)=0),1,IF(AND(U22&gt;0,SUM($U$12:U21)=0),1,IF(AND(X22&gt;0,SUM($X$12:X21)=0),1,IF(AND(AA22&gt;0,SUM($AA$12:AA21)=0),1,IF(AND(AD22&gt;0,SUM($AD$12:AD21)=0),1,IF(AND($AG22&gt;0,SUM($AG$12:AG21)=0),1,0))))))</f>
        <v>0</v>
      </c>
      <c r="BZ22" s="360">
        <f>IF(AND(AJ22&gt;0,SUM($AJ$12:AJ21)=0),1,IF(AND(AM22&gt;0,SUM($AM$12:AM21)=0),1,IF(AND(AP22&gt;0,SUM($AP$12:AP21)=0),1,IF(AND(AS22&gt;0,SUM($AS$12:AS21)=0),1,IF(AND(AV22&gt;0,SUM($AV$12:AV21)=0),1,IF(AND($AY22&gt;0,SUM($AY$12:AY21)=0),1,0))))))</f>
        <v>0</v>
      </c>
      <c r="CA22" s="360">
        <f>IF(AND(BB22&gt;0,SUM($BB$12:BB21)=0),1,IF(AND(BE22&gt;0,SUM($BE$12:BE21)=0),1,IF(AND(BH22&gt;0,SUM($BH$12:BH21)=0),1,IF(AND(BK22&gt;0,SUM($BK$12:BK21)=0),1,IF(AND(BN22&gt;0,SUM($BN$12:BN21)=0),1,IF(AND(BQ22&gt;0,SUM($BQ$12:BQ21)=0),1,0))))))</f>
        <v>0</v>
      </c>
    </row>
    <row r="23" spans="2:79" ht="13.5" customHeight="1" thickBot="1">
      <c r="B23" s="12">
        <v>12</v>
      </c>
      <c r="C23" s="499"/>
      <c r="D23" s="399"/>
      <c r="E23" s="400"/>
      <c r="F23" s="401"/>
      <c r="G23" s="327">
        <f t="shared" si="0"/>
      </c>
      <c r="H23" s="395"/>
      <c r="I23" s="281"/>
      <c r="J23" s="141">
        <f t="shared" si="29"/>
        <v>0</v>
      </c>
      <c r="K23" s="142">
        <f>IF(K24&gt;P24,(-FV(H23,(E23-E24),0,(K24-P24)))+-FV(H23/12,(E23-E24)*12,SUM(J24:$J$31)*$D$4,0),-FV(H23/12,(N23-N24)*12,SUM(J24:$J$31)*$D$4,0))</f>
        <v>0</v>
      </c>
      <c r="L23" s="11"/>
      <c r="N23" s="326">
        <f t="shared" si="27"/>
        <v>0</v>
      </c>
      <c r="O23" s="117" t="str">
        <f>IF(AND($BU$31=1,D23&gt;0,E23=$E$31),$E$31,IF(D23=0,O24,IF(AND(NOT(E23=$E$12),NOT($D$7=""),SUM($D$12:D22)&gt;0,BU23&gt;0),E23,"L")))</f>
        <v>L</v>
      </c>
      <c r="P23" s="13">
        <f aca="true" t="shared" si="31" ref="P23:P31">IF(D23=0,0,G23)</f>
        <v>0</v>
      </c>
      <c r="Q23" s="289">
        <f t="shared" si="1"/>
        <v>0</v>
      </c>
      <c r="R23" s="290">
        <f t="shared" si="2"/>
        <v>0</v>
      </c>
      <c r="S23" s="291">
        <f>IF(S24&gt;Q24,(-FV(H23,(E23-E24),0,(S24-Q24)))+-FV(H23/12,(E23-E24)*12,SUM(R24:$R$30)*$D$4,0),-FV(H23/12,(E23-E24)*12,SUM(R24:$R$30)*$D$4,0))</f>
        <v>0</v>
      </c>
      <c r="T23" s="343">
        <f t="shared" si="3"/>
        <v>0</v>
      </c>
      <c r="U23" s="299">
        <f t="shared" si="4"/>
        <v>0</v>
      </c>
      <c r="V23" s="302">
        <f>IF(V24&gt;$T24,(-FV($H23,($E23-$E24),0,(V24-$T24)))+-FV($H23/12,($E23-$E24)*12,SUM(U24:$U$29)*$D$4,0),-FV($H23/12,($E23-$E24)*12,SUM(U24:$U$29)*$D$4,0))</f>
        <v>0</v>
      </c>
      <c r="W23" s="393">
        <f t="shared" si="5"/>
        <v>0</v>
      </c>
      <c r="X23" s="293">
        <f t="shared" si="6"/>
        <v>0</v>
      </c>
      <c r="Y23" s="294">
        <f>IF(Y24&gt;$W24,(-FV($H23,($E23-$E24),0,(Y24-$W24)))+-FV($H23/12,($E23-$E24)*12,SUM(X24:$X$28)*$D$4,0),-FV($H23/12,($E23-$E24)*12,SUM(X24:$X$28)*$D$4,0))</f>
        <v>0</v>
      </c>
      <c r="Z23" s="420">
        <f t="shared" si="7"/>
        <v>0</v>
      </c>
      <c r="AA23" s="299">
        <f t="shared" si="28"/>
        <v>0</v>
      </c>
      <c r="AB23" s="300">
        <f>IF(AB24&gt;$Z24,(-FV($H23,($E23-$E24),0,(AB24-$Z24)))+-FV($H23/12,($E23-$E24)*12,SUM(AA24:$AA$27)*$D$4,0),-FV($H23/12,($E23-$E24)*12,SUM(AA24:$AA$27)*$D$4,0))</f>
        <v>0</v>
      </c>
      <c r="AC23" s="297">
        <f t="shared" si="8"/>
        <v>0</v>
      </c>
      <c r="AD23" s="290">
        <f t="shared" si="9"/>
        <v>0</v>
      </c>
      <c r="AE23" s="291">
        <f>IF(AE24&gt;$AC24,(-FV($H23,($E23-$E24),0,(AE24-$AC24)))+-FV($H23/12,($E23-$E24)*12,SUM(AD24:AD$26)*$D$4,0),-FV($H23/12,($E23-$E24)*12,SUM(AD24:AD$26)*$D$4,0))</f>
        <v>0</v>
      </c>
      <c r="AF23" s="298">
        <f t="shared" si="10"/>
        <v>0</v>
      </c>
      <c r="AG23" s="299">
        <f t="shared" si="11"/>
        <v>0</v>
      </c>
      <c r="AH23" s="300">
        <f>IF(AH24&gt;$AF24,(-FV($H23,($E23-$E24),0,(AH24-$AF24)))+-FV($H23/12,($E23-$E24)*12,SUM(AG24:AG$25)*$D$4,0),-FV($H23/12,($E23-$E24)*12,SUM(AG24:AG$25)*$D$4,0))</f>
        <v>0</v>
      </c>
      <c r="AI23" s="301">
        <f t="shared" si="12"/>
        <v>0</v>
      </c>
      <c r="AJ23" s="293">
        <f>IF($AJ$24=0,0,IF(AK23&gt;=$AI23,0,-PMT($H23/12,($E23-$AI$27)*12,0,($AI23-AK23))/$D$4))</f>
        <v>0</v>
      </c>
      <c r="AK23" s="294">
        <f>IF(AK24&gt;$AI24,(-FV($H23,($E23-$E24),0,(AK24-$AI24)))+-FV($H23/12,($E23-$E24)*12,(AJ$24)*$D$4,0),-FV($H23/12,($E23-$E24)*12,(AJ$24)*$D$4,0))</f>
        <v>0</v>
      </c>
      <c r="AL23" s="298">
        <f>IF(D23=0,0,P23)</f>
        <v>0</v>
      </c>
      <c r="AM23" s="299">
        <f>IF($AL$26=E23,0,-PMT($H23/12,($E23-AL26)*12,0,AL23/$D$4))</f>
        <v>0</v>
      </c>
      <c r="AN23" s="309"/>
      <c r="AO23" s="466">
        <f>IF(D23&gt;0,E23,IF(D24&gt;0,E24,IF(D25&gt;0,E25,IF(D26&gt;0,E26,IF(D27&gt;0,E27,0)))))</f>
        <v>0</v>
      </c>
      <c r="AP23" s="419">
        <f>CEILING(SUM(AP12:AP22),0.01)</f>
        <v>0</v>
      </c>
      <c r="AR23" s="416">
        <f>IF(D28&gt;0,E28,IF(D29&gt;0,E29,IF(D30&gt;0,E30,IF(D31&gt;0,E31,0))))</f>
        <v>0</v>
      </c>
      <c r="AS23" s="471"/>
      <c r="AT23" s="471"/>
      <c r="AU23" s="466">
        <f>IF(AU21&gt;0,AU21,IF(AU22&gt;0,AU22,0))</f>
        <v>0</v>
      </c>
      <c r="AX23" s="345"/>
      <c r="BA23" s="345"/>
      <c r="BD23" s="35"/>
      <c r="BG23" s="35"/>
      <c r="BJ23" s="35"/>
      <c r="BM23" s="35"/>
      <c r="BU23" s="467">
        <f>IF(SUM(BW24:$BW$31)=0,BX23,0)</f>
        <v>0</v>
      </c>
      <c r="BV23" s="467"/>
      <c r="BW23" s="465">
        <f>IF(AND(NOT(O24="L"),AM$12&gt;0),1,0)</f>
        <v>0</v>
      </c>
      <c r="BX23" s="465">
        <f>IF(AND(SUM(BY23:CA23)&gt;0,SUM($J$12:J22)=0),1,0)</f>
        <v>0</v>
      </c>
      <c r="BY23" s="360">
        <f>IF(AND(R23&gt;0,SUM($R$12:R22)=0),1,IF(AND(U23&gt;0,SUM($U$12:U22)=0),1,IF(AND(X23&gt;0,SUM($X$12:X22)=0),1,IF(AND(AA23&gt;0,SUM($AA$12:AA22)=0),1,IF(AND(AD23&gt;0,SUM($AD$12:AD22)=0),1,IF(AND($AG23&gt;0,SUM($AG$12:AG22)=0),1,0))))))</f>
        <v>0</v>
      </c>
      <c r="BZ23" s="360">
        <f>IF(AND(AJ23&gt;0,SUM($AJ$12:AJ22)=0),1,IF(AND(AM23&gt;0,SUM($AM$12:AM22)=0),1,IF(AND(AP23&gt;0,SUM($AP$12:AP22)=0),1,IF(AND(AS23&gt;0,SUM($AS$12:AS22)=0),1,IF(AND(AV23&gt;0,SUM($AV$12:AV22)=0),1,IF(AND($AY23&gt;0,SUM($AY$12:AY22)=0),1,0))))))</f>
        <v>0</v>
      </c>
      <c r="CA23" s="360">
        <f>IF(AND(BB23&gt;0,SUM($BB$12:BB22)=0),1,IF(AND(BE23&gt;0,SUM($BE$12:BE22)=0),1,IF(AND(BH23&gt;0,SUM($BH$12:BH22)=0),1,IF(AND(BK23&gt;0,SUM($BK$12:BK22)=0),1,IF(AND(BN23&gt;0,SUM($BN$12:BN22)=0),1,IF(AND(BQ23&gt;0,SUM($BQ$12:BQ22)=0),1,0))))))</f>
        <v>0</v>
      </c>
    </row>
    <row r="24" spans="2:79" ht="13.5" customHeight="1" thickBot="1">
      <c r="B24" s="12">
        <v>13</v>
      </c>
      <c r="C24" s="434"/>
      <c r="D24" s="399"/>
      <c r="E24" s="400"/>
      <c r="F24" s="401"/>
      <c r="G24" s="327">
        <f t="shared" si="0"/>
      </c>
      <c r="H24" s="395"/>
      <c r="I24" s="281"/>
      <c r="J24" s="141">
        <f t="shared" si="29"/>
        <v>0</v>
      </c>
      <c r="K24" s="142">
        <f>IF(K25&gt;P25,(-FV(H24,(E24-E25),0,(K25-P25)))+-FV(H24/12,(E24-E25)*12,SUM(J25:$J$31)*$D$4,0),-FV(H24/12,(N24-N25)*12,SUM(J25:$J$31)*$D$4,0))</f>
        <v>0</v>
      </c>
      <c r="L24" s="11"/>
      <c r="N24" s="326">
        <f t="shared" si="27"/>
        <v>0</v>
      </c>
      <c r="O24" s="117" t="str">
        <f>IF(AND($BU$31=1,D24&gt;0,E24=$E$31),$E$31,IF(D24=0,O25,IF(AND(NOT(E24=$E$12),NOT($D$7=""),SUM($D$12:D23)&gt;0,BU24&gt;0),E24,"L")))</f>
        <v>L</v>
      </c>
      <c r="P24" s="13">
        <f t="shared" si="31"/>
        <v>0</v>
      </c>
      <c r="Q24" s="289">
        <f t="shared" si="1"/>
        <v>0</v>
      </c>
      <c r="R24" s="290">
        <f t="shared" si="2"/>
        <v>0</v>
      </c>
      <c r="S24" s="291">
        <f>IF(S25&gt;Q25,(-FV(H24,(E24-E25),0,(S25-Q25)))+-FV(H24/12,(E24-E25)*12,SUM(R25:$R$30)*$D$4,0),-FV(H24/12,(E24-E25)*12,SUM(R25:$R$30)*$D$4,0))</f>
        <v>0</v>
      </c>
      <c r="T24" s="343">
        <f t="shared" si="3"/>
        <v>0</v>
      </c>
      <c r="U24" s="299">
        <f t="shared" si="4"/>
        <v>0</v>
      </c>
      <c r="V24" s="302">
        <f>IF(V25&gt;$T25,(-FV($H24,($E24-$E25),0,(V25-$T25)))+-FV($H24/12,($E24-$E25)*12,SUM(U25:$U$29)*$D$4,0),-FV($H24/12,($E24-$E25)*12,SUM(U25:$U$29)*$D$4,0))</f>
        <v>0</v>
      </c>
      <c r="W24" s="393">
        <f t="shared" si="5"/>
        <v>0</v>
      </c>
      <c r="X24" s="293">
        <f t="shared" si="6"/>
        <v>0</v>
      </c>
      <c r="Y24" s="294">
        <f>IF(Y25&gt;$W25,(-FV($H24,($E24-$E25),0,(Y25-$W25)))+-FV($H24/12,($E24-$E25)*12,SUM(X25:$X$28)*$D$4,0),-FV($H24/12,($E24-$E25)*12,SUM(X25:$X$28)*$D$4,0))</f>
        <v>0</v>
      </c>
      <c r="Z24" s="420">
        <f t="shared" si="7"/>
        <v>0</v>
      </c>
      <c r="AA24" s="299">
        <f t="shared" si="28"/>
        <v>0</v>
      </c>
      <c r="AB24" s="300">
        <f>IF(AB25&gt;$Z25,(-FV($H24,($E24-$E25),0,(AB25-$Z25)))+-FV($H24/12,($E24-$E25)*12,SUM(AA25:$AA$27)*$D$4,0),-FV($H24/12,($E24-$E25)*12,SUM(AA25:$AA$27)*$D$4,0))</f>
        <v>0</v>
      </c>
      <c r="AC24" s="297">
        <f t="shared" si="8"/>
        <v>0</v>
      </c>
      <c r="AD24" s="290">
        <f t="shared" si="9"/>
        <v>0</v>
      </c>
      <c r="AE24" s="291">
        <f>IF(AE25&gt;$AC25,(-FV($H24,($E24-$E25),0,(AE25-$AC25)))+-FV($H24/12,($E24-$E25)*12,SUM(AD25:AD$26)*$D$4,0),-FV($H24/12,($E24-$E25)*12,SUM(AD25:AD$26)*$D$4,0))</f>
        <v>0</v>
      </c>
      <c r="AF24" s="298">
        <f t="shared" si="10"/>
        <v>0</v>
      </c>
      <c r="AG24" s="299">
        <f>IF($AG$25=0,0,IF(AH24&gt;=$AF24,0,-PMT($H24/12,($E24-$AF$28)*12,0,($AF24-AH24))/$D$4))</f>
        <v>0</v>
      </c>
      <c r="AH24" s="300">
        <f>IF(AH25&gt;$AF25,(-FV($H24,($E24-$E25),0,(AH25-$AF25)))+-FV($H24/12,($E24-$E25)*12,(AG$25)*$D$4,0),-FV($H24/12,($E24-$E25)*12,(AG$25)*$D$4,0))</f>
        <v>0</v>
      </c>
      <c r="AI24" s="301">
        <f>IF(D24=0,0,P24)</f>
        <v>0</v>
      </c>
      <c r="AJ24" s="293">
        <f>IF(AI27=E24,0,-PMT($H24/12,($E24-AI27)*12,0,$AI24/$D$4))</f>
        <v>0</v>
      </c>
      <c r="AK24" s="310"/>
      <c r="AL24" s="466">
        <f>IF(D24&gt;0,E24,IF(D25&gt;0,E25,IF(D26&gt;0,E26,IF(D27&gt;0,E27,0))))</f>
        <v>0</v>
      </c>
      <c r="AM24" s="307">
        <f>CEILING(SUM(AM12:AM23),0.01)</f>
        <v>0</v>
      </c>
      <c r="AO24" s="466">
        <f>IF(D28&gt;0,E28,IF(D29&gt;0,E29,IF(D30&gt;0,E30,IF(D31&gt;0,E31,0))))</f>
        <v>0</v>
      </c>
      <c r="AP24" s="163"/>
      <c r="AQ24" s="472"/>
      <c r="AR24" s="473">
        <f>IF(AR22&gt;0,AR22,IF(AR23&gt;0,AR23,0))</f>
        <v>0</v>
      </c>
      <c r="AS24" s="471"/>
      <c r="AT24" s="471"/>
      <c r="AU24" s="345"/>
      <c r="AX24" s="416"/>
      <c r="BA24" s="35"/>
      <c r="BD24" s="35"/>
      <c r="BG24" s="35"/>
      <c r="BJ24" s="35"/>
      <c r="BM24" s="35"/>
      <c r="BU24" s="467">
        <f>IF(SUM(BW25:$BW$31)=0,BX24,0)</f>
        <v>0</v>
      </c>
      <c r="BV24" s="467"/>
      <c r="BW24" s="465">
        <f>IF(AND(NOT(O25="L"),AJ$12&gt;0),1,0)</f>
        <v>0</v>
      </c>
      <c r="BX24" s="465">
        <f>IF(AND(SUM(BY24:CA24)&gt;0,SUM($J$12:J23)=0),1,0)</f>
        <v>0</v>
      </c>
      <c r="BY24" s="360">
        <f>IF(AND(R24&gt;0,SUM($R$12:R23)=0),1,IF(AND(U24&gt;0,SUM($U$12:U23)=0),1,IF(AND(X24&gt;0,SUM($X$12:X23)=0),1,IF(AND(AA24&gt;0,SUM($AA$12:AA23)=0),1,IF(AND(AD24&gt;0,SUM($AD$12:AD23)=0),1,IF(AND($AG24&gt;0,SUM($AG$12:AG23)=0),1,0))))))</f>
        <v>0</v>
      </c>
      <c r="BZ24" s="360">
        <f>IF(AND(AJ24&gt;0,SUM($AJ$12:AJ23)=0),1,IF(AND(AM24&gt;0,SUM($AM$12:AM23)=0),1,IF(AND(AP24&gt;0,SUM($AP$12:AP23)=0),1,IF(AND(AS24&gt;0,SUM($AS$12:AS23)=0),1,IF(AND(AV24&gt;0,SUM($AV$12:AV23)=0),1,IF(AND($AY24&gt;0,SUM($AY$12:AY23)=0),1,0))))))</f>
        <v>0</v>
      </c>
      <c r="CA24" s="360">
        <f>IF(AND(BB24&gt;0,SUM($BB$12:BB23)=0),1,IF(AND(BE24&gt;0,SUM($BE$12:BE23)=0),1,IF(AND(BH24&gt;0,SUM($BH$12:BH23)=0),1,IF(AND(BK24&gt;0,SUM($BK$12:BK23)=0),1,IF(AND(BN24&gt;0,SUM($BN$12:BN23)=0),1,IF(AND(BQ24&gt;0,SUM($BQ$12:BQ23)=0),1,0))))))</f>
        <v>0</v>
      </c>
    </row>
    <row r="25" spans="2:79" ht="13.5" customHeight="1" thickBot="1">
      <c r="B25" s="12">
        <v>14</v>
      </c>
      <c r="C25" s="434"/>
      <c r="D25" s="399"/>
      <c r="E25" s="400"/>
      <c r="F25" s="401"/>
      <c r="G25" s="327">
        <f>IF(D25=0,"",-FV(F25,E25,0,D25,0))</f>
      </c>
      <c r="H25" s="395"/>
      <c r="I25" s="281"/>
      <c r="J25" s="141">
        <f>IF(K25&gt;=P25,0,-PMT(H25/12,(E25)*12,0,(P25-K25))/$D$4)</f>
        <v>0</v>
      </c>
      <c r="K25" s="142">
        <f>IF(K26&gt;P26,(-FV(H25,(E25-E26),0,(K26-P26)))+-FV(H25/12,(E25-E26)*12,SUM(J26:$J$31)*$D$4,0),-FV(H25/12,(N25-N26)*12,SUM(J26:$J$31)*$D$4,0))</f>
        <v>0</v>
      </c>
      <c r="L25" s="11"/>
      <c r="N25" s="326">
        <f t="shared" si="27"/>
        <v>0</v>
      </c>
      <c r="O25" s="117" t="str">
        <f>IF(AND($BU$31=1,D25&gt;0,E25=$E$31),$E$31,IF(D25=0,O26,IF(AND(NOT(E25=$E$12),NOT($D$7=""),SUM($D$12:D24)&gt;0,BU25&gt;0),E25,"L")))</f>
        <v>L</v>
      </c>
      <c r="P25" s="13">
        <f t="shared" si="31"/>
        <v>0</v>
      </c>
      <c r="Q25" s="289">
        <f>IF(D25=0,0,P25)</f>
        <v>0</v>
      </c>
      <c r="R25" s="290">
        <f t="shared" si="2"/>
        <v>0</v>
      </c>
      <c r="S25" s="291">
        <f>IF(S26&gt;Q26,(-FV(H25,(E25-E26),0,(S26-Q26)))+-FV(H25/12,(E25-E26)*12,SUM(R26:$R$30)*$D$4,0),-FV(H25/12,(E25-E26)*12,SUM(R26:$R$30)*$D$4,0))</f>
        <v>0</v>
      </c>
      <c r="T25" s="343">
        <f>IF(D25=0,0,P25)</f>
        <v>0</v>
      </c>
      <c r="U25" s="299">
        <f t="shared" si="4"/>
        <v>0</v>
      </c>
      <c r="V25" s="302">
        <f>IF(V26&gt;$T26,(-FV($H25,($E25-$E26),0,(V26-$T26)))+-FV($H25/12,($E25-$E26)*12,SUM(U26:$U$29)*$D$4,0),-FV($H25/12,($E25-$E26)*12,SUM(U26:$U$29)*$D$4,0))</f>
        <v>0</v>
      </c>
      <c r="W25" s="393">
        <f>IF(D25=0,0,P25)</f>
        <v>0</v>
      </c>
      <c r="X25" s="293">
        <f t="shared" si="6"/>
        <v>0</v>
      </c>
      <c r="Y25" s="294">
        <f>IF(Y26&gt;$W26,(-FV($H25,($E25-$E26),0,(Y26-$W26)))+-FV($H25/12,($E25-$E26)*12,SUM(X26:$X$28)*$D$4,0),-FV($H25/12,($E25-$E26)*12,SUM(X26:$X$28)*$D$4,0))</f>
        <v>0</v>
      </c>
      <c r="Z25" s="420">
        <f>IF(D25=0,0,P25)</f>
        <v>0</v>
      </c>
      <c r="AA25" s="299">
        <f t="shared" si="28"/>
        <v>0</v>
      </c>
      <c r="AB25" s="300">
        <f>IF(AB26&gt;$Z26,(-FV($H25,($E25-$E26),0,(AB26-$Z26)))+-FV($H25/12,($E25-$E26)*12,SUM(AA26:$AA$27)*$D$4,0),-FV($H25/12,($E25-$E26)*12,SUM(AA26:$AA$27)*$D$4,0))</f>
        <v>0</v>
      </c>
      <c r="AC25" s="297">
        <f>IF(D25=0,0,P25)</f>
        <v>0</v>
      </c>
      <c r="AD25" s="290">
        <f>IF($AD$26=0,0,IF(AE25&gt;=$AC25,0,-PMT($H25/12,($E25-$AC$29)*12,0,($AC25-AE25))/$D$4))</f>
        <v>0</v>
      </c>
      <c r="AE25" s="291">
        <f>IF(AE26&gt;$AC26,(-FV($H25,($E25-$E26),0,(AE26-$AC26)))+-FV($H25/12,($E25-$E26)*12,(AD26)*$D$4,0),-FV($H25/12,($E25-$E26)*12,(AD26)*$D$4,0))</f>
        <v>0</v>
      </c>
      <c r="AF25" s="298">
        <f>IF(D25=0,0,P25)</f>
        <v>0</v>
      </c>
      <c r="AG25" s="299">
        <f>IF(AF28=E25,0,-PMT($H25/12,($E25-AF28)*12,0,AF25/$D$4))</f>
        <v>0</v>
      </c>
      <c r="AH25" s="309"/>
      <c r="AI25" s="466">
        <f>IF(D25&gt;0,E25,IF(D26&gt;0,E26,IF(D27&gt;0,E27,0)))</f>
        <v>0</v>
      </c>
      <c r="AJ25" s="311">
        <f>CEILING(SUM(AJ12:AJ24),0.01)</f>
        <v>0</v>
      </c>
      <c r="AK25" s="409"/>
      <c r="AL25" s="466">
        <f>IF(D28&gt;0,E28,IF(D29&gt;0,E29,IF(D30&gt;0,E30,IF(D31&gt;0,E31,0))))</f>
        <v>0</v>
      </c>
      <c r="AO25" s="466">
        <f>IF(AO23&gt;0,AO23,IF(AO24&gt;0,AO24,0))</f>
        <v>0</v>
      </c>
      <c r="AP25" s="163"/>
      <c r="AQ25" s="474"/>
      <c r="AR25" s="345"/>
      <c r="AS25" s="471"/>
      <c r="AT25" s="471"/>
      <c r="AU25" s="336"/>
      <c r="AX25" s="11"/>
      <c r="BA25" s="35"/>
      <c r="BD25" s="35"/>
      <c r="BG25" s="35"/>
      <c r="BJ25" s="35"/>
      <c r="BM25" s="35"/>
      <c r="BU25" s="467">
        <f>IF(SUM(BW26:$BW$31)=0,BX25,0)</f>
        <v>0</v>
      </c>
      <c r="BV25" s="467"/>
      <c r="BW25" s="465">
        <f>IF(AND(NOT(O26="L"),AG$12&gt;0),1,0)</f>
        <v>0</v>
      </c>
      <c r="BX25" s="465">
        <f>IF(AND(SUM(BY25:CA25)&gt;0,SUM($J$12:J24)=0),1,0)</f>
        <v>0</v>
      </c>
      <c r="BY25" s="360">
        <f>IF(AND(R25&gt;0,SUM($R$12:R24)=0),1,IF(AND(U25&gt;0,SUM($U$12:U24)=0),1,IF(AND(X25&gt;0,SUM($X$12:X24)=0),1,IF(AND(AA25&gt;0,SUM($AA$12:AA24)=0),1,IF(AND(AD25&gt;0,SUM($AD$12:AD24)=0),1,IF(AND($AG25&gt;0,SUM($AG$12:AG24)=0),1,0))))))</f>
        <v>0</v>
      </c>
      <c r="BZ25" s="360">
        <f>IF(AND(AJ25&gt;0,SUM($AJ$12:AJ24)=0),1,IF(AND(AM25&gt;0,SUM($AM$12:AM24)=0),1,IF(AND(AP25&gt;0,SUM($AP$12:AP24)=0),1,IF(AND(AS25&gt;0,SUM($AS$12:AS24)=0),1,IF(AND(AV25&gt;0,SUM($AV$12:AV24)=0),1,IF(AND($AY25&gt;0,SUM($AY$12:AY24)=0),1,0))))))</f>
        <v>0</v>
      </c>
      <c r="CA25" s="360">
        <f>IF(AND(BB25&gt;0,SUM($BB$12:BB24)=0),1,IF(AND(BE25&gt;0,SUM($BE$12:BE24)=0),1,IF(AND(BH25&gt;0,SUM($BH$12:BH24)=0),1,IF(AND(BK25&gt;0,SUM($BK$12:BK24)=0),1,IF(AND(BN25&gt;0,SUM($BN$12:BN24)=0),1,IF(AND(BQ25&gt;0,SUM($BQ$12:BQ24)=0),1,0))))))</f>
        <v>0</v>
      </c>
    </row>
    <row r="26" spans="2:79" ht="13.5" customHeight="1" thickBot="1">
      <c r="B26" s="12">
        <v>15</v>
      </c>
      <c r="C26" s="499"/>
      <c r="D26" s="399"/>
      <c r="E26" s="400"/>
      <c r="F26" s="401"/>
      <c r="G26" s="327">
        <f t="shared" si="0"/>
      </c>
      <c r="H26" s="395"/>
      <c r="I26" s="281"/>
      <c r="J26" s="141">
        <f t="shared" si="29"/>
        <v>0</v>
      </c>
      <c r="K26" s="142">
        <f>IF(K27&gt;P27,(-FV(H26,(E26-E27),0,(K27-P27)))+-FV(H26/12,(E26-E27)*12,SUM(J27:$J$31)*$D$4,0),-FV(H26/12,(N26-N27)*12,SUM(J27:$J$31)*$D$4,0))</f>
        <v>0</v>
      </c>
      <c r="L26" s="11"/>
      <c r="N26" s="326">
        <f t="shared" si="27"/>
        <v>0</v>
      </c>
      <c r="O26" s="117" t="str">
        <f>IF(AND($BU$31=1,D26&gt;0,E26=$E$31),$E$31,IF(D26=0,O27,IF(AND(NOT(E26=$E$12),NOT($D$7=""),SUM($D$12:D25)&gt;0,BU26&gt;0),E26,"L")))</f>
        <v>L</v>
      </c>
      <c r="P26" s="13">
        <f t="shared" si="31"/>
        <v>0</v>
      </c>
      <c r="Q26" s="289">
        <f t="shared" si="1"/>
        <v>0</v>
      </c>
      <c r="R26" s="290">
        <f t="shared" si="2"/>
        <v>0</v>
      </c>
      <c r="S26" s="291">
        <f>IF(S27&gt;Q27,(-FV(H26,(E26-E27),0,(S27-Q27)))+-FV(H26/12,(E26-E27)*12,SUM(R27:$R$30)*$D$4,0),-FV(H26/12,(E26-E27)*12,SUM(R27:$R$30)*$D$4,0))</f>
        <v>0</v>
      </c>
      <c r="T26" s="343">
        <f t="shared" si="3"/>
        <v>0</v>
      </c>
      <c r="U26" s="299">
        <f t="shared" si="4"/>
        <v>0</v>
      </c>
      <c r="V26" s="302">
        <f>IF(V27&gt;$T27,(-FV($H26,($E26-$E27),0,(V27-$T27)))+-FV($H26/12,($E26-$E27)*12,SUM(U27:$U$29)*$D$4,0),-FV($H26/12,($E26-$E27)*12,SUM(U27:$U$29)*$D$4,0))</f>
        <v>0</v>
      </c>
      <c r="W26" s="393">
        <f t="shared" si="5"/>
        <v>0</v>
      </c>
      <c r="X26" s="293">
        <f t="shared" si="6"/>
        <v>0</v>
      </c>
      <c r="Y26" s="294">
        <f>IF(Y27&gt;$W27,(-FV($H26,($E26-$E27),0,(Y27-$W27)))+-FV($H26/12,($E26-$E27)*12,SUM(X27:$X$28)*$D$4,0),-FV($H26/12,($E26-$E27)*12,SUM(X27:$X$28)*$D$4,0))</f>
        <v>0</v>
      </c>
      <c r="Z26" s="420">
        <f t="shared" si="7"/>
        <v>0</v>
      </c>
      <c r="AA26" s="299">
        <f t="shared" si="28"/>
        <v>0</v>
      </c>
      <c r="AB26" s="300">
        <f>-FV(H26/12,(E26-E27)*12,AA27*$D$4,0)</f>
        <v>0</v>
      </c>
      <c r="AC26" s="297">
        <f>IF(D26=0,0,P26)</f>
        <v>0</v>
      </c>
      <c r="AD26" s="290">
        <f>IF(AC29=E26,0,-PMT($H26/12,($E26-AC29)*12,0,AC26/$D$4))</f>
        <v>0</v>
      </c>
      <c r="AE26" s="312"/>
      <c r="AF26" s="415">
        <f>IF(D26&gt;0,E26,IF(D27&gt;0,E27,0))</f>
        <v>0</v>
      </c>
      <c r="AG26" s="307">
        <f>CEILING(SUM(AG12:AG25),0.01)</f>
        <v>0</v>
      </c>
      <c r="AI26" s="466">
        <f>IF(D28&gt;0,E28,IF(D29&gt;0,E29,IF(D30&gt;0,E30,IF(D31&gt;0,E31,0))))</f>
        <v>0</v>
      </c>
      <c r="AL26" s="466">
        <f>IF(AL24&gt;0,AL24,IF(AL25&gt;0,AL25,0))</f>
        <v>0</v>
      </c>
      <c r="AO26" s="345"/>
      <c r="AP26" s="163"/>
      <c r="AQ26" s="474"/>
      <c r="AS26" s="471"/>
      <c r="AT26" s="471"/>
      <c r="AU26" s="35"/>
      <c r="AX26" s="11"/>
      <c r="BA26" s="35"/>
      <c r="BD26" s="35"/>
      <c r="BG26" s="35"/>
      <c r="BJ26" s="35"/>
      <c r="BM26" s="35"/>
      <c r="BU26" s="467">
        <f>IF(SUM(BW27:$BW$31)=0,BX26,0)</f>
        <v>0</v>
      </c>
      <c r="BV26" s="467"/>
      <c r="BW26" s="465">
        <f>IF(AND(NOT(O27="L"),AD$12&gt;0),1,0)</f>
        <v>0</v>
      </c>
      <c r="BX26" s="465">
        <f>IF(AND(SUM(BY26:CA26)&gt;0,SUM($J$12:J25)=0),1,0)</f>
        <v>0</v>
      </c>
      <c r="BY26" s="360">
        <f>IF(AND(R26&gt;0,SUM($R$12:R25)=0),1,IF(AND(U26&gt;0,SUM($U$12:U25)=0),1,IF(AND(X26&gt;0,SUM($X$12:X25)=0),1,IF(AND(AA26&gt;0,SUM($AA$12:AA25)=0),1,IF(AND(AD26&gt;0,SUM($AD$12:AD25)=0),1,IF(AND($AG26&gt;0,SUM($AG$12:AG25)=0),1,0))))))</f>
        <v>0</v>
      </c>
      <c r="BZ26" s="360">
        <f>IF(AND(AJ26&gt;0,SUM($AJ$12:AJ25)=0),1,IF(AND(AM26&gt;0,SUM($AM$12:AM25)=0),1,IF(AND(AP26&gt;0,SUM($AP$12:AP25)=0),1,IF(AND(AS26&gt;0,SUM($AS$12:AS25)=0),1,IF(AND(AV26&gt;0,SUM($AV$12:AV25)=0),1,IF(AND($AY26&gt;0,SUM($AY$12:AY25)=0),1,0))))))</f>
        <v>0</v>
      </c>
      <c r="CA26" s="360">
        <f>IF(AND(BB26&gt;0,SUM($BB$12:BB25)=0),1,IF(AND(BE26&gt;0,SUM($BE$12:BE25)=0),1,IF(AND(BH26&gt;0,SUM($BH$12:BH25)=0),1,IF(AND(BK26&gt;0,SUM($BK$12:BK25)=0),1,IF(AND(BN26&gt;0,SUM($BN$12:BN25)=0),1,IF(AND(BQ26&gt;0,SUM($BQ$12:BQ25)=0),1,0))))))</f>
        <v>0</v>
      </c>
    </row>
    <row r="27" spans="2:79" ht="13.5" customHeight="1" thickBot="1">
      <c r="B27" s="12">
        <v>16</v>
      </c>
      <c r="C27" s="499"/>
      <c r="D27" s="399"/>
      <c r="E27" s="400"/>
      <c r="F27" s="401"/>
      <c r="G27" s="327">
        <f t="shared" si="0"/>
      </c>
      <c r="H27" s="395"/>
      <c r="I27" s="281"/>
      <c r="J27" s="141">
        <f t="shared" si="29"/>
        <v>0</v>
      </c>
      <c r="K27" s="142">
        <f>IF(K28&gt;P28,(-FV(H27,(E27-E28),0,(K28-P28)))+-FV(H27/12,(E27-E28)*12,SUM(J28:$J$31)*$D$4,0),-FV(H27/12,(N27-N28)*12,SUM(J28:$J$31)*$D$4,0))</f>
        <v>0</v>
      </c>
      <c r="L27" s="11"/>
      <c r="N27" s="326">
        <f t="shared" si="27"/>
        <v>0</v>
      </c>
      <c r="O27" s="117" t="str">
        <f>IF(AND($BU$31=1,D27&gt;0,E27=$E$31),$E$31,IF(D27=0,O28,IF(AND(NOT(E27=$E$12),NOT($D$7=""),SUM($D$12:D26)&gt;0,BU27&gt;0),E27,"L")))</f>
        <v>L</v>
      </c>
      <c r="P27" s="13">
        <f t="shared" si="31"/>
        <v>0</v>
      </c>
      <c r="Q27" s="289">
        <f>IF(D27=0,0,P27)</f>
        <v>0</v>
      </c>
      <c r="R27" s="290">
        <f t="shared" si="2"/>
        <v>0</v>
      </c>
      <c r="S27" s="291">
        <f>IF(S28&gt;Q28,(-FV(H27,(E27-E28),0,(S28-Q28)))+-FV(H27/12,(E27-E28)*12,SUM(R28:$R$30)*$D$4,0),-FV(H27/12,(E27-E28)*12,SUM(R28:$R$30)*$D$4,0))</f>
        <v>0</v>
      </c>
      <c r="T27" s="343">
        <f>IF(D27=0,0,P27)</f>
        <v>0</v>
      </c>
      <c r="U27" s="299">
        <f t="shared" si="4"/>
        <v>0</v>
      </c>
      <c r="V27" s="302">
        <f>IF(V28&gt;$T28,(-FV($H27,($E27-$E28),0,(V28-$T28)))+-FV($H27/12,($E27-$E28)*12,SUM(U28:$U$29)*$D$4,0),-FV($H27/12,($E27-$E28)*12,SUM(U28:$U$29)*$D$4,0))</f>
        <v>0</v>
      </c>
      <c r="W27" s="393">
        <f>IF(D27=0,0,P27)</f>
        <v>0</v>
      </c>
      <c r="X27" s="293">
        <f>IF($X$28=0,0,IF(Y27&gt;=$W27,0,-PMT($H27/12,($E27-$W$29)*12,0,($W27-Y27))/$D$4))</f>
        <v>0</v>
      </c>
      <c r="Y27" s="294">
        <f>-FV(H27/12,(E27-E28)*12,X28*$D$4,0)</f>
        <v>0</v>
      </c>
      <c r="Z27" s="420">
        <f>IF(D27=0,0,P27)</f>
        <v>0</v>
      </c>
      <c r="AA27" s="299">
        <f>IF(Z28=E27,0,-PMT($H27/12,($E27-Z28)*12,0,Z27/$D$4))</f>
        <v>0</v>
      </c>
      <c r="AB27" s="309"/>
      <c r="AC27" s="466">
        <f>IF(D27&gt;0,E27,0)</f>
        <v>0</v>
      </c>
      <c r="AD27" s="287">
        <f>CEILING(SUM(AD12:AD26),0.01)</f>
        <v>0</v>
      </c>
      <c r="AE27" s="409"/>
      <c r="AF27" s="416">
        <f>IF(D28&gt;0,E28,IF(D29&gt;0,E29,IF(D30&gt;0,E30,IF(D31&gt;0,E31,0))))</f>
        <v>0</v>
      </c>
      <c r="AI27" s="466">
        <f>IF(AI25&gt;0,AI25,IF(AI26&gt;0,AI26,0))</f>
        <v>0</v>
      </c>
      <c r="AL27" s="345"/>
      <c r="AQ27" s="474"/>
      <c r="AR27" s="416"/>
      <c r="AU27" s="35"/>
      <c r="AX27" s="11"/>
      <c r="BA27" s="35"/>
      <c r="BD27" s="35"/>
      <c r="BG27" s="35"/>
      <c r="BJ27" s="35"/>
      <c r="BM27" s="35"/>
      <c r="BU27" s="467">
        <f>IF(SUM(BW28:$BW$31)=0,BX27,0)</f>
        <v>0</v>
      </c>
      <c r="BV27" s="467"/>
      <c r="BW27" s="465">
        <f>IF(AND(NOT(O28="L"),AA$12&gt;0),1,0)</f>
        <v>0</v>
      </c>
      <c r="BX27" s="465">
        <f>IF(AND(SUM(BY27:CA27)&gt;0,SUM($J$12:J26)=0),1,0)</f>
        <v>0</v>
      </c>
      <c r="BY27" s="360">
        <f>IF(AND(R27&gt;0,SUM($R$12:R26)=0),1,IF(AND(U27&gt;0,SUM($U$12:U26)=0),1,IF(AND(X27&gt;0,SUM($X$12:X26)=0),1,IF(AND(AA27&gt;0,SUM($AA$12:AA26)=0),1,IF(AND(AD27&gt;0,SUM($AD$12:AD26)=0),1,IF(AND($AG27&gt;0,SUM($AG$12:AG26)=0),1,0))))))</f>
        <v>0</v>
      </c>
      <c r="BZ27" s="360">
        <f>IF(AND(AJ27&gt;0,SUM($AJ$12:AJ26)=0),1,IF(AND(AM27&gt;0,SUM($AM$12:AM26)=0),1,IF(AND(AP27&gt;0,SUM($AP$12:AP26)=0),1,IF(AND(AS27&gt;0,SUM($AS$12:AS26)=0),1,IF(AND(AV27&gt;0,SUM($AV$12:AV26)=0),1,IF(AND($AY27&gt;0,SUM($AY$12:AY26)=0),1,0))))))</f>
        <v>0</v>
      </c>
      <c r="CA27" s="360">
        <f>IF(AND(BB27&gt;0,SUM($BB$12:BB26)=0),1,IF(AND(BE27&gt;0,SUM($BE$12:BE26)=0),1,IF(AND(BH27&gt;0,SUM($BH$12:BH26)=0),1,IF(AND(BK27&gt;0,SUM($BK$12:BK26)=0),1,IF(AND(BN27&gt;0,SUM($BN$12:BN26)=0),1,IF(AND(BQ27&gt;0,SUM($BQ$12:BQ26)=0),1,0))))))</f>
        <v>0</v>
      </c>
    </row>
    <row r="28" spans="2:79" ht="13.5" customHeight="1" thickBot="1">
      <c r="B28" s="12">
        <v>17</v>
      </c>
      <c r="C28" s="499"/>
      <c r="D28" s="399"/>
      <c r="E28" s="400"/>
      <c r="F28" s="401"/>
      <c r="G28" s="327">
        <f t="shared" si="0"/>
      </c>
      <c r="H28" s="395"/>
      <c r="I28" s="281"/>
      <c r="J28" s="141">
        <f t="shared" si="29"/>
        <v>0</v>
      </c>
      <c r="K28" s="142">
        <f>IF(K29&gt;P29,(-FV(H28,(E28-E29),0,(K29-P29)))+-FV(H28/12,(E28-E29)*12,SUM(J29:$J$31)*$D$4,0),-FV(H28/12,(N28-N29)*12,SUM(J29:$J$31)*$D$4,0))</f>
        <v>0</v>
      </c>
      <c r="L28" s="11"/>
      <c r="N28" s="326">
        <f t="shared" si="27"/>
        <v>0</v>
      </c>
      <c r="O28" s="117" t="str">
        <f>IF(AND($BU$31=1,D28&gt;0,E28=$E$31),$E$31,IF(D28=0,O29,IF(AND(NOT(E28=$E$12),NOT($D$7=""),SUM($D$12:D27)&gt;0,BU28&gt;0),E28,"L")))</f>
        <v>L</v>
      </c>
      <c r="P28" s="13">
        <f t="shared" si="31"/>
        <v>0</v>
      </c>
      <c r="Q28" s="289">
        <f>IF(D28=0,0,P28)</f>
        <v>0</v>
      </c>
      <c r="R28" s="290">
        <f t="shared" si="2"/>
        <v>0</v>
      </c>
      <c r="S28" s="291">
        <f>IF(S29&gt;$Q29,(-FV($H28,($E28-$E29),0,(S29-$P29)))+-FV($H28/12,($E28-$E29)*12,(R29+R30)*$D$4,0),-FV($H28/12,($E28-$E29)*12,(R29+R30)*$D$4,0))</f>
        <v>0</v>
      </c>
      <c r="T28" s="343">
        <f>IF(D28=0,0,P28)</f>
        <v>0</v>
      </c>
      <c r="U28" s="299">
        <f>IF($U$29=0,0,IF(V28&gt;=$T28,0,-PMT($H28/12,($E28-$T$30)*12,0,($T28-$V28))/$D$4))</f>
        <v>0</v>
      </c>
      <c r="V28" s="302">
        <f>-FV(H28/12,(E28-E29)*12,U29*$D$4,0)</f>
        <v>0</v>
      </c>
      <c r="W28" s="393">
        <f>IF(D28=0,0,P28)</f>
        <v>0</v>
      </c>
      <c r="X28" s="293">
        <f>IF(W29=E28,0,-PMT($H28/12,($E28-W29)*12,0,W28/$D$4))</f>
        <v>0</v>
      </c>
      <c r="Y28" s="310"/>
      <c r="Z28" s="466">
        <f>IF(D28&gt;0,E28,IF(D29&gt;0,E29,IF(D30&gt;0,E30,IF(D31&gt;0,E31,0))))</f>
        <v>0</v>
      </c>
      <c r="AA28" s="307">
        <f>CEILING(SUM(AA12:AA27),0.01)</f>
        <v>0</v>
      </c>
      <c r="AC28" s="466">
        <f>IF(D28&gt;0,E28,IF(D29&gt;0,E29,IF(D30&gt;0,E30,IF(D31&gt;0,E31,0))))</f>
        <v>0</v>
      </c>
      <c r="AF28" s="416">
        <f>IF(AF26&gt;0,AF26,IF(AF27&gt;0,AF27,0))</f>
        <v>0</v>
      </c>
      <c r="AI28" s="345"/>
      <c r="AL28" s="11"/>
      <c r="AO28" s="35"/>
      <c r="AQ28" s="474"/>
      <c r="AR28" s="11"/>
      <c r="AT28" s="39"/>
      <c r="AU28" s="39"/>
      <c r="AX28" s="11"/>
      <c r="BA28" s="35"/>
      <c r="BD28" s="35"/>
      <c r="BG28" s="35"/>
      <c r="BJ28" s="35"/>
      <c r="BM28" s="35"/>
      <c r="BU28" s="467">
        <f>IF(SUM(BW29:$BW$31)=0,BX28,0)</f>
        <v>0</v>
      </c>
      <c r="BV28" s="467"/>
      <c r="BW28" s="465">
        <f>IF(AND(NOT(O29="L"),X$12&gt;0),1,0)</f>
        <v>0</v>
      </c>
      <c r="BX28" s="465">
        <f>IF(AND(SUM(BY28:CA28)&gt;0,SUM($J$12:J27)=0),1,0)</f>
        <v>0</v>
      </c>
      <c r="BY28" s="360">
        <f>IF(AND(R28&gt;0,SUM($R$12:R27)=0),1,IF(AND(U28&gt;0,SUM($U$12:U27)=0),1,IF(AND(X28&gt;0,SUM($X$12:X27)=0),1,IF(AND(AA28&gt;0,SUM($AA$12:AA27)=0),1,IF(AND(AD28&gt;0,SUM($AD$12:AD27)=0),1,IF(AND($AG28&gt;0,SUM($AG$12:AG27)=0),1,0))))))</f>
        <v>0</v>
      </c>
      <c r="BZ28" s="360">
        <f>IF(AND(AJ28&gt;0,SUM($AJ$12:AJ27)=0),1,IF(AND(AM28&gt;0,SUM($AM$12:AM27)=0),1,IF(AND(AP28&gt;0,SUM($AP$12:AP27)=0),1,IF(AND(AS28&gt;0,SUM($AS$12:AS27)=0),1,IF(AND(AV28&gt;0,SUM($AV$12:AV27)=0),1,IF(AND($AY28&gt;0,SUM($AY$12:AY27)=0),1,0))))))</f>
        <v>0</v>
      </c>
      <c r="CA28" s="360">
        <f>IF(AND(BB28&gt;0,SUM($BB$12:BB27)=0),1,IF(AND(BE28&gt;0,SUM($BE$12:BE27)=0),1,IF(AND(BH28&gt;0,SUM($BH$12:BH27)=0),1,IF(AND(BK28&gt;0,SUM($BK$12:BK27)=0),1,IF(AND(BN28&gt;0,SUM($BN$12:BN27)=0),1,IF(AND(BQ28&gt;0,SUM($BQ$12:BQ27)=0),1,0))))))</f>
        <v>0</v>
      </c>
    </row>
    <row r="29" spans="2:79" ht="13.5" customHeight="1" thickBot="1">
      <c r="B29" s="12">
        <v>18</v>
      </c>
      <c r="C29" s="499"/>
      <c r="D29" s="399"/>
      <c r="E29" s="400"/>
      <c r="F29" s="401"/>
      <c r="G29" s="327">
        <f>IF(D29=0,"",-FV(F29,E29,0,D29,0))</f>
      </c>
      <c r="H29" s="395"/>
      <c r="I29" s="281"/>
      <c r="J29" s="141">
        <f>IF(K29&gt;=P29,0,-PMT(H29/12,(E29)*12,0,(P29-K29))/$D$4)</f>
        <v>0</v>
      </c>
      <c r="K29" s="142">
        <f>IF(K30&gt;P30,(-FV(H29,(E29-E30),0,(K30-P30)))+-FV(H29/12,(E29-E30)*12,SUM(J30:$J$31)*$D$4,0),-FV(H29/12,(N29-N30)*12,SUM(J30:$J$31)*$D$4,0))</f>
        <v>0</v>
      </c>
      <c r="L29" s="11"/>
      <c r="N29" s="326">
        <f t="shared" si="27"/>
        <v>0</v>
      </c>
      <c r="O29" s="117" t="str">
        <f>IF(AND($BU$31=1,D29&gt;0,E29=$E$31),$E$31,IF(D29=0,O30,IF(AND(NOT(E29=$E$12),NOT($D$7=""),SUM($D$12:D28)&gt;0,BU29&gt;0),E29,"L")))</f>
        <v>L</v>
      </c>
      <c r="P29" s="13">
        <f t="shared" si="31"/>
        <v>0</v>
      </c>
      <c r="Q29" s="289">
        <f>IF(D29=0,0,P29)</f>
        <v>0</v>
      </c>
      <c r="R29" s="290">
        <f>IF($R$30=0,0,IF(S29&gt;=$Q29,0,-PMT($H29/12,($E29-$Q$31)*12,0,($Q29-$S29))/$D$4))</f>
        <v>0</v>
      </c>
      <c r="S29" s="313">
        <f>-FV(H29/12,(E29-E30)*12,R30*$D$4,0)</f>
        <v>0</v>
      </c>
      <c r="T29" s="343">
        <f>IF(D29=0,0,P29)</f>
        <v>0</v>
      </c>
      <c r="U29" s="290">
        <f>IF(T30=E29,0,-PMT($H29/12,($E29-$T$30)*12,0,$T29/$D$4))</f>
        <v>0</v>
      </c>
      <c r="V29" s="392"/>
      <c r="W29" s="466">
        <f>IF(D29&gt;0,E29,IF(D30&gt;0,E30,IF(D31&gt;0,E31,0)))</f>
        <v>0</v>
      </c>
      <c r="X29" s="307">
        <f>CEILING(SUM(X12:X28),0.01)</f>
        <v>0</v>
      </c>
      <c r="Z29" s="466"/>
      <c r="AC29" s="466">
        <f>IF(AC27&gt;0,AC27,IF(AC28&gt;0,AC28,0))</f>
        <v>0</v>
      </c>
      <c r="AF29" s="416"/>
      <c r="AI29" s="35"/>
      <c r="AL29" s="11"/>
      <c r="AO29" s="35"/>
      <c r="AR29" s="11"/>
      <c r="AS29" s="39"/>
      <c r="AT29" s="39"/>
      <c r="AU29" s="39"/>
      <c r="AX29" s="11"/>
      <c r="BA29" s="35"/>
      <c r="BD29" s="35"/>
      <c r="BG29" s="35"/>
      <c r="BJ29" s="35"/>
      <c r="BM29" s="35"/>
      <c r="BU29" s="467">
        <f>IF(SUM(BW30:$BW$31)=0,BX29,0)</f>
        <v>0</v>
      </c>
      <c r="BV29" s="467"/>
      <c r="BW29" s="465">
        <f>IF(AND(NOT(O30="L"),U$12&gt;0),1,0)</f>
        <v>0</v>
      </c>
      <c r="BX29" s="465">
        <f>IF(AND(SUM(BY29:CA29)&gt;0,SUM($J$12:J28)=0),1,0)</f>
        <v>0</v>
      </c>
      <c r="BY29" s="360">
        <f>IF(AND(R29&gt;0,SUM($R$12:R28)=0),1,IF(AND(U29&gt;0,SUM($U$12:U28)=0),1,IF(AND(X29&gt;0,SUM($X$12:X28)=0),1,IF(AND(AA29&gt;0,SUM($AA$12:AA28)=0),1,IF(AND(AD29&gt;0,SUM($AD$12:AD28)=0),1,IF(AND($AG29&gt;0,SUM($AG$12:AG28)=0),1,0))))))</f>
        <v>0</v>
      </c>
      <c r="BZ29" s="360">
        <f>IF(AND(AJ29&gt;0,SUM($AJ$12:AJ28)=0),1,IF(AND(AM29&gt;0,SUM($AM$12:AM28)=0),1,IF(AND(AP29&gt;0,SUM($AP$12:AP28)=0),1,IF(AND(AS29&gt;0,SUM($AS$12:AS28)=0),1,IF(AND(AV29&gt;0,SUM($AV$12:AV28)=0),1,IF(AND($AY29&gt;0,SUM($AY$12:AY28)=0),1,0))))))</f>
        <v>0</v>
      </c>
      <c r="CA29" s="360">
        <f>IF(AND(BB29&gt;0,SUM($BB$12:BB28)=0),1,IF(AND(BE29&gt;0,SUM($BE$12:BE28)=0),1,IF(AND(BH29&gt;0,SUM($BH$12:BH28)=0),1,IF(AND(BK29&gt;0,SUM($BK$12:BK28)=0),1,IF(AND(BN29&gt;0,SUM($BN$12:BN28)=0),1,IF(AND(BQ29&gt;0,SUM($BQ$12:BQ28)=0),1,0))))))</f>
        <v>0</v>
      </c>
    </row>
    <row r="30" spans="2:79" ht="13.5" customHeight="1" thickBot="1" thickTop="1">
      <c r="B30" s="12">
        <v>19</v>
      </c>
      <c r="C30" s="499"/>
      <c r="D30" s="399"/>
      <c r="E30" s="400"/>
      <c r="F30" s="401"/>
      <c r="G30" s="327">
        <f t="shared" si="0"/>
      </c>
      <c r="H30" s="395"/>
      <c r="I30" s="281"/>
      <c r="J30" s="141">
        <f t="shared" si="29"/>
        <v>0</v>
      </c>
      <c r="K30" s="142">
        <f>IF(K31&gt;P31,(-FV(H30,(E30-E31),0,(K31-P31)))+-FV(H30/12,(E30-E31)*12,SUM(J31:$J$31)*$D$4,0),-FV(H30/12,(N30-N31)*12,SUM(J31:$J$31)*$D$4,0))</f>
        <v>0</v>
      </c>
      <c r="L30" s="11"/>
      <c r="N30" s="326">
        <f>IF(D30&gt;0,E30,N31)</f>
        <v>0</v>
      </c>
      <c r="O30" s="117" t="str">
        <f>IF(AND($BU$31=1,D30&gt;0,E30=$E$31),$E$31,IF(D30=0,O31,IF(AND(NOT(E30=$E$12),NOT($D$7=""),SUM($D$12:D29)&gt;0,BU30&gt;0),E30,"L")))</f>
        <v>L</v>
      </c>
      <c r="P30" s="13">
        <f t="shared" si="31"/>
        <v>0</v>
      </c>
      <c r="Q30" s="289">
        <f>IF(D30=0,0,P30)</f>
        <v>0</v>
      </c>
      <c r="R30" s="290">
        <f>IF(Q31=E30,0,-PMT($H30/12,($E30-Q31)*12,0,$Q30/$D$4))</f>
        <v>0</v>
      </c>
      <c r="S30" s="315"/>
      <c r="T30" s="413">
        <f>IF(D30&gt;0,E30,IF(D31&gt;0,E31,0))</f>
        <v>0</v>
      </c>
      <c r="U30" s="410">
        <f>CEILING(SUM(U12:U29),0.01)</f>
        <v>0</v>
      </c>
      <c r="V30" s="316"/>
      <c r="W30" s="475"/>
      <c r="X30" s="35"/>
      <c r="Y30" s="35"/>
      <c r="Z30" s="466"/>
      <c r="AC30" s="466"/>
      <c r="AF30" s="11"/>
      <c r="AI30" s="35"/>
      <c r="AL30" s="11"/>
      <c r="AO30" s="35"/>
      <c r="AR30" s="11"/>
      <c r="AS30" s="39"/>
      <c r="AT30" s="39"/>
      <c r="AU30" s="39"/>
      <c r="AX30" s="11"/>
      <c r="BA30" s="35"/>
      <c r="BD30" s="35"/>
      <c r="BG30" s="35"/>
      <c r="BJ30" s="35"/>
      <c r="BM30" s="35"/>
      <c r="BU30" s="467">
        <f>IF(SUM(BW31:$BW$31)=0,BX30,0)</f>
        <v>0</v>
      </c>
      <c r="BV30" s="467"/>
      <c r="BW30" s="465">
        <f>IF(AND(NOT(O31="L"),R$12&gt;0),1,0)</f>
        <v>0</v>
      </c>
      <c r="BX30" s="465">
        <f>IF(AND(SUM(BY30:CA30)&gt;0,SUM($J$12:J29)=0),1,0)</f>
        <v>0</v>
      </c>
      <c r="BY30" s="360">
        <f>IF(AND(R30&gt;0,SUM($R$12:R29)=0),1,IF(AND(U30&gt;0,SUM($U$12:U29)=0),1,IF(AND(X30&gt;0,SUM($X$12:X29)=0),1,IF(AND(AA30&gt;0,SUM($AA$12:AA29)=0),1,IF(AND(AD30&gt;0,SUM($AD$12:AD29)=0),1,IF(AND($AG30&gt;0,SUM($AG$12:AG29)=0),1,0))))))</f>
        <v>0</v>
      </c>
      <c r="BZ30" s="360">
        <f>IF(AND(AJ30&gt;0,SUM($AJ$12:AJ29)=0),1,IF(AND(AM30&gt;0,SUM($AM$12:AM29)=0),1,IF(AND(AP30&gt;0,SUM($AP$12:AP29)=0),1,IF(AND(AS30&gt;0,SUM($AS$12:AS29)=0),1,IF(AND(AV30&gt;0,SUM($AV$12:AV29)=0),1,IF(AND($AY30&gt;0,SUM($AY$12:AY29)=0),1,0))))))</f>
        <v>0</v>
      </c>
      <c r="CA30" s="360">
        <f>IF(AND(BB30&gt;0,SUM($BB$12:BB29)=0),1,IF(AND(BE30&gt;0,SUM($BE$12:BE29)=0),1,IF(AND(BH30&gt;0,SUM($BH$12:BH29)=0),1,IF(AND(BK30&gt;0,SUM($BK$12:BK29)=0),1,IF(AND(BN30&gt;0,SUM($BN$12:BN29)=0),1,IF(AND(BQ30&gt;0,SUM($BQ$12:BQ29)=0),1,0))))))</f>
        <v>0</v>
      </c>
    </row>
    <row r="31" spans="2:79" ht="13.5" customHeight="1" thickBot="1">
      <c r="B31" s="362">
        <v>20</v>
      </c>
      <c r="C31" s="499"/>
      <c r="D31" s="399"/>
      <c r="E31" s="400"/>
      <c r="F31" s="401"/>
      <c r="G31" s="330">
        <f t="shared" si="0"/>
      </c>
      <c r="H31" s="395"/>
      <c r="I31" s="281"/>
      <c r="J31" s="143">
        <f>IF(K31&gt;=P31,0,-PMT(H31/12,(E31)*12,0,(P31-K31))/$D$4)</f>
        <v>0</v>
      </c>
      <c r="K31" s="144"/>
      <c r="L31" s="11"/>
      <c r="N31" s="326">
        <f>IF(D31&gt;0,E31,0)</f>
        <v>0</v>
      </c>
      <c r="O31" s="117" t="str">
        <f>IF(BU31=1,E31,"L")</f>
        <v>L</v>
      </c>
      <c r="P31" s="13">
        <f t="shared" si="31"/>
        <v>0</v>
      </c>
      <c r="Q31" s="317">
        <f>IF(D31&gt;0,E31,0)</f>
        <v>0</v>
      </c>
      <c r="R31" s="311">
        <f>CEILING(SUM(R12:R30),0.01)</f>
        <v>0</v>
      </c>
      <c r="S31" s="117"/>
      <c r="T31" s="414"/>
      <c r="U31" s="337"/>
      <c r="V31" s="316"/>
      <c r="W31" s="466"/>
      <c r="X31" s="35"/>
      <c r="Y31" s="35"/>
      <c r="Z31" s="466"/>
      <c r="AA31" s="337"/>
      <c r="AC31" s="35"/>
      <c r="AD31" s="337"/>
      <c r="AF31" s="11"/>
      <c r="AG31" s="337"/>
      <c r="AI31" s="35"/>
      <c r="AJ31" s="337"/>
      <c r="AL31" s="11"/>
      <c r="AM31" s="337"/>
      <c r="AO31" s="35"/>
      <c r="AP31" s="337"/>
      <c r="AR31" s="11"/>
      <c r="AS31" s="39"/>
      <c r="AT31" s="39"/>
      <c r="AU31" s="39"/>
      <c r="AV31" s="337"/>
      <c r="AX31" s="11"/>
      <c r="AY31" s="337"/>
      <c r="BA31" s="35"/>
      <c r="BB31" s="337"/>
      <c r="BD31" s="35"/>
      <c r="BE31" s="337"/>
      <c r="BG31" s="35"/>
      <c r="BH31" s="337"/>
      <c r="BJ31" s="35"/>
      <c r="BK31" s="337"/>
      <c r="BM31" s="35"/>
      <c r="BN31" s="337"/>
      <c r="BQ31" s="337"/>
      <c r="BT31" s="337"/>
      <c r="BU31" s="433">
        <f>IF(AND(D31&gt;0,NOT(D7=""),SUM(J12:J30)=0),1,IF(AND(D31&gt;0,NOT(D7=""),SUM(BX13:BX30)=0),1,0))</f>
        <v>0</v>
      </c>
      <c r="BV31" s="433"/>
      <c r="BW31" s="465"/>
      <c r="BX31" s="465"/>
      <c r="BY31" s="360"/>
      <c r="BZ31" s="360"/>
      <c r="CA31" s="360"/>
    </row>
    <row r="32" spans="1:76" ht="34.5" customHeight="1" thickBot="1" thickTop="1">
      <c r="A32" s="910" t="str">
        <f>IF(SUM(C34:C38)&gt;0,"ERROR!",IF(SUM(C41:C43)&gt;0,"NOTE!",""))</f>
        <v>ERROR!</v>
      </c>
      <c r="B32" s="911"/>
      <c r="C32" s="912" t="str">
        <f>IF(D40&gt;0,D40,IF(D45&gt;0,D45,""))</f>
        <v>Missing Information!</v>
      </c>
      <c r="D32" s="913"/>
      <c r="E32" s="913"/>
      <c r="F32" s="913"/>
      <c r="G32" s="913"/>
      <c r="H32" s="914"/>
      <c r="I32" s="331"/>
      <c r="J32" s="332"/>
      <c r="L32" s="332"/>
      <c r="M32" s="532"/>
      <c r="N32" s="337"/>
      <c r="O32" s="476"/>
      <c r="P32" s="285"/>
      <c r="T32" s="317"/>
      <c r="U32" s="317"/>
      <c r="W32" s="35"/>
      <c r="X32" s="317"/>
      <c r="AA32" s="317"/>
      <c r="AD32" s="317"/>
      <c r="AG32" s="317"/>
      <c r="AI32" s="35"/>
      <c r="AJ32" s="317"/>
      <c r="AL32" s="35"/>
      <c r="AM32" s="317"/>
      <c r="AP32" s="317"/>
      <c r="AR32" s="35"/>
      <c r="AU32" s="35"/>
      <c r="BA32" s="35"/>
      <c r="BW32" s="317"/>
      <c r="BX32" s="317"/>
    </row>
    <row r="33" spans="1:76" ht="18" customHeight="1" thickTop="1">
      <c r="A33" s="904"/>
      <c r="B33" s="905"/>
      <c r="C33" s="364"/>
      <c r="D33" s="365"/>
      <c r="E33" s="365"/>
      <c r="F33" s="365"/>
      <c r="G33" s="365"/>
      <c r="H33" s="365"/>
      <c r="I33" s="331"/>
      <c r="J33" s="332"/>
      <c r="K33" s="332"/>
      <c r="L33" s="332"/>
      <c r="P33" s="285"/>
      <c r="U33" s="317"/>
      <c r="X33" s="317"/>
      <c r="AA33" s="317"/>
      <c r="AD33" s="317"/>
      <c r="AG33" s="317"/>
      <c r="AJ33" s="317"/>
      <c r="AM33" s="317"/>
      <c r="AP33" s="317"/>
      <c r="BW33" s="317"/>
      <c r="BX33" s="317"/>
    </row>
    <row r="34" spans="2:16" ht="12" customHeight="1" hidden="1">
      <c r="B34" s="340"/>
      <c r="C34" s="344">
        <f>IF(OR(D4=0,F56&gt;0),1,0)</f>
        <v>1</v>
      </c>
      <c r="D34" s="286" t="s">
        <v>97</v>
      </c>
      <c r="E34" s="286"/>
      <c r="F34" s="340"/>
      <c r="G34" s="16"/>
      <c r="H34" s="341"/>
      <c r="I34" s="331"/>
      <c r="J34" s="332"/>
      <c r="K34" s="332"/>
      <c r="L34" s="332"/>
      <c r="P34" s="285"/>
    </row>
    <row r="35" spans="2:16" ht="12" customHeight="1" hidden="1">
      <c r="B35" s="340"/>
      <c r="C35" s="348">
        <f>IF(AND(MAXA(E12:E30)&gt;H56,H56&gt;0),1,0)</f>
        <v>0</v>
      </c>
      <c r="D35" s="286">
        <f>IF(AND(MAXA(E12:E30)&gt;H56,H56&gt;0),"When you skip entries, all 'Years to Replace' above first entry must be the same as that entry!","")</f>
      </c>
      <c r="E35" s="286"/>
      <c r="F35" s="345"/>
      <c r="G35" s="346"/>
      <c r="H35" s="337"/>
      <c r="I35" s="347"/>
      <c r="J35" s="332"/>
      <c r="K35" s="332"/>
      <c r="L35" s="332"/>
      <c r="P35" s="285"/>
    </row>
    <row r="36" spans="2:16" ht="12" customHeight="1" hidden="1">
      <c r="B36" s="340"/>
      <c r="C36" s="353">
        <f>IF(F78&gt;0,1,0)</f>
        <v>0</v>
      </c>
      <c r="D36" s="286">
        <f>IF(F78&gt;0,"'Years To Replace' are not listed in descending order; or there are blank 'years'!","")</f>
      </c>
      <c r="E36" s="286"/>
      <c r="F36" s="349">
        <f>IF(OR(AND(C12&gt;0,D12=0),AND(D12&gt;0,E12=0)),1,0)</f>
        <v>0</v>
      </c>
      <c r="G36" s="350">
        <f aca="true" t="shared" si="32" ref="G36:G55">IF(F12&gt;10%,1,0)</f>
        <v>0</v>
      </c>
      <c r="H36" s="351">
        <f aca="true" t="shared" si="33" ref="H36:H55">IF(D12&gt;0,E12,0)</f>
        <v>0</v>
      </c>
      <c r="I36" s="352">
        <f>IF(AND(D12&gt;0,H12=0,SUM(E12:$E$31)&gt;0,OR(AND(SUM(H12:$H$31)&gt;0),AND(SUM(H$12:$H12)&gt;0))),1,0)</f>
        <v>0</v>
      </c>
      <c r="J36" s="320"/>
      <c r="K36" s="333"/>
      <c r="L36" s="333"/>
      <c r="M36" s="533"/>
      <c r="N36" s="534"/>
      <c r="O36" s="357"/>
      <c r="P36" s="285"/>
    </row>
    <row r="37" spans="2:16" ht="12" customHeight="1" hidden="1">
      <c r="B37" s="340"/>
      <c r="C37" s="354">
        <f>IF(G56&gt;0,1,0)</f>
        <v>0</v>
      </c>
      <c r="D37" s="286">
        <f>IF(G56&gt;0,"Inflation percentage is over 10%, which is usually wrong…..if correct ,ignore error message!","")</f>
      </c>
      <c r="E37" s="286"/>
      <c r="F37" s="349">
        <f aca="true" t="shared" si="34" ref="F37:F55">IF(OR(AND(C13&gt;0,D13=0),AND(D13&gt;0,E13=0)),1,0)</f>
        <v>0</v>
      </c>
      <c r="G37" s="350">
        <f t="shared" si="32"/>
        <v>0</v>
      </c>
      <c r="H37" s="351">
        <f t="shared" si="33"/>
        <v>0</v>
      </c>
      <c r="I37" s="352">
        <f>IF(AND(D13&gt;0,H13=0,SUM(E13:$E$31)&gt;0,OR(AND(SUM(H13:$H$31)&gt;0),AND(SUM(H$12:$H13)&gt;0))),1,0)</f>
        <v>0</v>
      </c>
      <c r="J37" s="332"/>
      <c r="K37" s="332"/>
      <c r="L37" s="332"/>
      <c r="P37" s="285"/>
    </row>
    <row r="38" spans="2:16" ht="12" customHeight="1" hidden="1">
      <c r="B38" s="340"/>
      <c r="C38" s="355">
        <f>IF(AND(I56&gt;0),1,0)</f>
        <v>0</v>
      </c>
      <c r="D38" s="286">
        <f>IF(AND(I56&gt;0),"You must enter 'Account Interest Rate' in each line highlighted in red to be accurate!'","")</f>
      </c>
      <c r="E38" s="286"/>
      <c r="F38" s="349">
        <f t="shared" si="34"/>
        <v>0</v>
      </c>
      <c r="G38" s="350">
        <f t="shared" si="32"/>
        <v>0</v>
      </c>
      <c r="H38" s="351">
        <f t="shared" si="33"/>
        <v>0</v>
      </c>
      <c r="I38" s="352">
        <f>IF(AND(D14&gt;0,H14=0,SUM(E14:$E$31)&gt;0,OR(AND(SUM(H14:$H$31)&gt;0),AND(SUM(H$12:$H14)&gt;0))),1,0)</f>
        <v>0</v>
      </c>
      <c r="J38" s="334"/>
      <c r="K38" s="334"/>
      <c r="L38" s="334"/>
      <c r="M38" s="535"/>
      <c r="N38" s="536"/>
      <c r="O38" s="477"/>
      <c r="P38" s="285"/>
    </row>
    <row r="39" spans="2:16" ht="12" customHeight="1" hidden="1">
      <c r="B39" s="340"/>
      <c r="C39" s="117"/>
      <c r="E39" s="286"/>
      <c r="F39" s="349">
        <f t="shared" si="34"/>
        <v>0</v>
      </c>
      <c r="G39" s="350">
        <f t="shared" si="32"/>
        <v>0</v>
      </c>
      <c r="H39" s="351">
        <f t="shared" si="33"/>
        <v>0</v>
      </c>
      <c r="I39" s="352">
        <f>IF(AND(D15&gt;0,H15=0,SUM(E15:$E$31)&gt;0,OR(AND(SUM(H15:$H$31)&gt;0),AND(SUM(H$12:$H15)&gt;0))),1,0)</f>
        <v>0</v>
      </c>
      <c r="J39" s="3"/>
      <c r="K39" s="3"/>
      <c r="L39" s="3"/>
      <c r="M39" s="524"/>
      <c r="N39" s="525"/>
      <c r="P39" s="285"/>
    </row>
    <row r="40" spans="2:16" ht="12" customHeight="1" hidden="1">
      <c r="B40" s="340"/>
      <c r="D40" s="286" t="str">
        <f>IF(C34&gt;0,D34,IF(C35&gt;0,D35,IF(C36&gt;0,D36,IF(C37&gt;0,D37,IF(C38&gt;0,D38,IF(C39&gt;0,D39,0))))))</f>
        <v>Missing Information!</v>
      </c>
      <c r="E40" s="1"/>
      <c r="F40" s="349">
        <f t="shared" si="34"/>
        <v>0</v>
      </c>
      <c r="G40" s="350">
        <f t="shared" si="32"/>
        <v>0</v>
      </c>
      <c r="H40" s="351">
        <f t="shared" si="33"/>
        <v>0</v>
      </c>
      <c r="I40" s="352">
        <f>IF(AND(D16&gt;0,H16=0,SUM(E16:$E$31)&gt;0,OR(AND(SUM(H16:$H$31)&gt;0),AND(SUM(H$12:$H16)&gt;0))),1,0)</f>
        <v>0</v>
      </c>
      <c r="J40" s="14"/>
      <c r="P40" s="285"/>
    </row>
    <row r="41" spans="2:16" ht="12" customHeight="1" hidden="1">
      <c r="B41" s="340"/>
      <c r="C41" s="117">
        <f>IF(G79&gt;0,1,0)</f>
        <v>0</v>
      </c>
      <c r="D41" s="286">
        <f>IF(G79&gt;0,"Have you considered entering annual inflation and the interest from your savings account?","")</f>
      </c>
      <c r="E41" s="286"/>
      <c r="F41" s="349">
        <f t="shared" si="34"/>
        <v>0</v>
      </c>
      <c r="G41" s="350">
        <f t="shared" si="32"/>
        <v>0</v>
      </c>
      <c r="H41" s="351">
        <f t="shared" si="33"/>
        <v>0</v>
      </c>
      <c r="I41" s="352">
        <f>IF(AND(D17&gt;0,H17=0,SUM(E17:$E$31)&gt;0,OR(AND(SUM(H17:$H$31)&gt;0),AND(SUM(H$12:$H17)&gt;0))),1,0)</f>
        <v>0</v>
      </c>
      <c r="J41" s="14"/>
      <c r="P41" s="285"/>
    </row>
    <row r="42" spans="2:16" ht="12" customHeight="1" hidden="1">
      <c r="B42" s="340"/>
      <c r="C42" s="286">
        <f>IF(I79&gt;0,1,0)</f>
        <v>0</v>
      </c>
      <c r="D42" s="286">
        <f>IF(I79&gt;0,"Why don't you have all your savings in an interest bearing account?","")</f>
      </c>
      <c r="E42" s="286"/>
      <c r="F42" s="349">
        <f t="shared" si="34"/>
        <v>0</v>
      </c>
      <c r="G42" s="350">
        <f t="shared" si="32"/>
        <v>0</v>
      </c>
      <c r="H42" s="351">
        <f t="shared" si="33"/>
        <v>0</v>
      </c>
      <c r="I42" s="352">
        <f>IF(AND(D18&gt;0,H18=0,SUM(E18:$E$31)&gt;0,OR(AND(SUM(H18:$H$31)&gt;0),AND(SUM(H$12:$H18)&gt;0))),1,0)</f>
        <v>0</v>
      </c>
      <c r="J42" s="14"/>
      <c r="P42" s="285"/>
    </row>
    <row r="43" spans="2:16" ht="12" customHeight="1" hidden="1">
      <c r="B43" s="340"/>
      <c r="C43" s="286">
        <f>IF(AND(SUM(C34:C38)=0,SUM(E12:E31)&gt;0),1,0)</f>
        <v>0</v>
      </c>
      <c r="D43" s="286">
        <f>IF(C43=1,"You don't have any entry errors; re-check your entries for accuracy and good luck!!","")</f>
      </c>
      <c r="E43" s="286"/>
      <c r="F43" s="349">
        <f t="shared" si="34"/>
        <v>0</v>
      </c>
      <c r="G43" s="350">
        <f t="shared" si="32"/>
        <v>0</v>
      </c>
      <c r="H43" s="351">
        <f t="shared" si="33"/>
        <v>0</v>
      </c>
      <c r="I43" s="352">
        <f>IF(AND(D19&gt;0,H19=0,SUM(E19:$E$31)&gt;0,OR(AND(SUM(H19:$H$31)&gt;0),AND(SUM(H$12:$H19)&gt;0))),1,0)</f>
        <v>0</v>
      </c>
      <c r="J43" s="14"/>
      <c r="P43" s="285"/>
    </row>
    <row r="44" spans="3:16" ht="12" customHeight="1" hidden="1">
      <c r="C44" s="286"/>
      <c r="D44" s="286"/>
      <c r="E44" s="286"/>
      <c r="F44" s="349">
        <f t="shared" si="34"/>
        <v>0</v>
      </c>
      <c r="G44" s="350">
        <f t="shared" si="32"/>
        <v>0</v>
      </c>
      <c r="H44" s="351">
        <f t="shared" si="33"/>
        <v>0</v>
      </c>
      <c r="I44" s="352">
        <f>IF(AND(D20&gt;0,H20=0,SUM(E20:$E$31)&gt;0,OR(AND(SUM(H20:$H$31)&gt;0),AND(SUM(H$12:$H20)&gt;0))),1,0)</f>
        <v>0</v>
      </c>
      <c r="J44" s="14"/>
      <c r="P44" s="285"/>
    </row>
    <row r="45" spans="3:16" ht="12" customHeight="1" hidden="1">
      <c r="C45" s="286"/>
      <c r="D45" s="286">
        <f>IF(C41&gt;0,D41,IF(C42&gt;0,D42,IF(C43&gt;0,D43,"")))</f>
      </c>
      <c r="E45" s="286"/>
      <c r="F45" s="349">
        <f t="shared" si="34"/>
        <v>0</v>
      </c>
      <c r="G45" s="350">
        <f t="shared" si="32"/>
        <v>0</v>
      </c>
      <c r="H45" s="351">
        <f t="shared" si="33"/>
        <v>0</v>
      </c>
      <c r="I45" s="352">
        <f>IF(AND(D21&gt;0,H21=0,SUM(E21:$E$31)&gt;0,OR(AND(SUM(H21:$H$31)&gt;0),AND(SUM(H$12:$H21)&gt;0))),1,0)</f>
        <v>0</v>
      </c>
      <c r="J45" s="14"/>
      <c r="P45" s="285"/>
    </row>
    <row r="46" spans="3:16" ht="12" customHeight="1" hidden="1">
      <c r="C46" s="286"/>
      <c r="D46" s="286"/>
      <c r="E46" s="286"/>
      <c r="F46" s="349">
        <f t="shared" si="34"/>
        <v>0</v>
      </c>
      <c r="G46" s="350">
        <f t="shared" si="32"/>
        <v>0</v>
      </c>
      <c r="H46" s="351">
        <f t="shared" si="33"/>
        <v>0</v>
      </c>
      <c r="I46" s="352">
        <f>IF(AND(D22&gt;0,H22=0,SUM(E22:$E$31)&gt;0,OR(AND(SUM(H22:$H$31)&gt;0),AND(SUM(H$12:$H22)&gt;0))),1,0)</f>
        <v>0</v>
      </c>
      <c r="J46" s="21"/>
      <c r="K46" s="20"/>
      <c r="L46" s="21"/>
      <c r="M46" s="533"/>
      <c r="N46" s="534"/>
      <c r="O46" s="357"/>
      <c r="P46" s="285"/>
    </row>
    <row r="47" spans="3:16" ht="12" customHeight="1" hidden="1">
      <c r="C47" s="286"/>
      <c r="D47" s="286"/>
      <c r="E47" s="286"/>
      <c r="F47" s="349">
        <f t="shared" si="34"/>
        <v>0</v>
      </c>
      <c r="G47" s="350">
        <f>IF(F23&gt;10%,1,0)</f>
        <v>0</v>
      </c>
      <c r="H47" s="351">
        <f t="shared" si="33"/>
        <v>0</v>
      </c>
      <c r="I47" s="352">
        <f>IF(AND(D23&gt;0,H23=0,SUM(E23:$E$31)&gt;0,OR(AND(SUM(H23:$H$31)&gt;0),AND(SUM(H$12:$H23)&gt;0))),1,0)</f>
        <v>0</v>
      </c>
      <c r="J47" s="14"/>
      <c r="P47" s="285"/>
    </row>
    <row r="48" spans="3:16" ht="12" customHeight="1" hidden="1">
      <c r="C48" s="286"/>
      <c r="D48" s="286"/>
      <c r="E48" s="286"/>
      <c r="F48" s="349">
        <f t="shared" si="34"/>
        <v>0</v>
      </c>
      <c r="G48" s="350">
        <f t="shared" si="32"/>
        <v>0</v>
      </c>
      <c r="H48" s="351">
        <f t="shared" si="33"/>
        <v>0</v>
      </c>
      <c r="I48" s="352">
        <f>IF(AND(D24&gt;0,H24=0,SUM(E24:$E$31)&gt;0,OR(AND(SUM(H24:$H$31)&gt;0),AND(SUM(H$12:$H24)&gt;0))),1,0)</f>
        <v>0</v>
      </c>
      <c r="J48" s="22"/>
      <c r="K48" s="22"/>
      <c r="L48" s="22"/>
      <c r="M48" s="535"/>
      <c r="N48" s="536"/>
      <c r="O48" s="477"/>
      <c r="P48" s="285"/>
    </row>
    <row r="49" spans="3:16" ht="12" customHeight="1" hidden="1">
      <c r="C49" s="286"/>
      <c r="D49" s="286"/>
      <c r="E49" s="286"/>
      <c r="F49" s="349">
        <f t="shared" si="34"/>
        <v>0</v>
      </c>
      <c r="G49" s="350">
        <f t="shared" si="32"/>
        <v>0</v>
      </c>
      <c r="H49" s="351">
        <f>IF(D25&gt;0,E25,0)</f>
        <v>0</v>
      </c>
      <c r="I49" s="352">
        <f>IF(AND(D25&gt;0,H25=0,SUM(E25:$E$31)&gt;0,OR(AND(SUM(H25:$H$31)&gt;0),AND(SUM(H$12:$H25)&gt;0))),1,0)</f>
        <v>0</v>
      </c>
      <c r="J49" s="3"/>
      <c r="K49" s="3"/>
      <c r="L49" s="3"/>
      <c r="M49" s="524"/>
      <c r="N49" s="525"/>
      <c r="P49" s="285"/>
    </row>
    <row r="50" spans="3:16" ht="12" customHeight="1" hidden="1">
      <c r="C50" s="286"/>
      <c r="D50" s="286"/>
      <c r="E50" s="286"/>
      <c r="F50" s="349">
        <f t="shared" si="34"/>
        <v>0</v>
      </c>
      <c r="G50" s="350">
        <f t="shared" si="32"/>
        <v>0</v>
      </c>
      <c r="H50" s="351">
        <f t="shared" si="33"/>
        <v>0</v>
      </c>
      <c r="I50" s="352">
        <f>IF(AND(D26&gt;0,H26=0,SUM(E26:$E$31)&gt;0,OR(AND(SUM(H26:$H$31)&gt;0),AND(SUM(H$12:$H26)&gt;0))),1,0)</f>
        <v>0</v>
      </c>
      <c r="J50" s="14"/>
      <c r="P50" s="285"/>
    </row>
    <row r="51" spans="3:16" ht="12" customHeight="1" hidden="1">
      <c r="C51" s="286"/>
      <c r="D51" s="286"/>
      <c r="E51" s="286"/>
      <c r="F51" s="349">
        <f t="shared" si="34"/>
        <v>0</v>
      </c>
      <c r="G51" s="350">
        <f t="shared" si="32"/>
        <v>0</v>
      </c>
      <c r="H51" s="351">
        <f t="shared" si="33"/>
        <v>0</v>
      </c>
      <c r="I51" s="352">
        <f>IF(AND(D27&gt;0,H27=0,SUM(E27:$E$31)&gt;0,OR(AND(SUM(H27:$H$31)&gt;0),AND(SUM(H$12:$H27)&gt;0))),1,0)</f>
        <v>0</v>
      </c>
      <c r="J51" s="14"/>
      <c r="P51" s="285"/>
    </row>
    <row r="52" spans="3:16" ht="12" customHeight="1" hidden="1">
      <c r="C52" s="286"/>
      <c r="D52" s="286"/>
      <c r="E52" s="286"/>
      <c r="F52" s="349">
        <f t="shared" si="34"/>
        <v>0</v>
      </c>
      <c r="G52" s="350">
        <f t="shared" si="32"/>
        <v>0</v>
      </c>
      <c r="H52" s="351">
        <f t="shared" si="33"/>
        <v>0</v>
      </c>
      <c r="I52" s="352">
        <f>IF(AND(D28&gt;0,H28=0,SUM(E28:$E$31)&gt;0,OR(AND(SUM(H28:$H$31)&gt;0),AND(SUM(H$12:$H28)&gt;0))),1,0)</f>
        <v>0</v>
      </c>
      <c r="J52" s="14"/>
      <c r="P52" s="285"/>
    </row>
    <row r="53" spans="3:16" ht="12" customHeight="1" hidden="1">
      <c r="C53" s="286"/>
      <c r="D53" s="286"/>
      <c r="E53" s="286"/>
      <c r="F53" s="349">
        <f t="shared" si="34"/>
        <v>0</v>
      </c>
      <c r="G53" s="350">
        <f t="shared" si="32"/>
        <v>0</v>
      </c>
      <c r="H53" s="351">
        <f t="shared" si="33"/>
        <v>0</v>
      </c>
      <c r="I53" s="352">
        <f>IF(AND(D29&gt;0,H29=0,SUM(E29:$E$31)&gt;0,OR(AND(SUM(H29:$H$31)&gt;0),AND(SUM(H$12:$H29)&gt;0))),1,0)</f>
        <v>0</v>
      </c>
      <c r="J53" s="14"/>
      <c r="P53" s="285"/>
    </row>
    <row r="54" spans="3:16" ht="12" customHeight="1" hidden="1">
      <c r="C54" s="286"/>
      <c r="D54" s="286"/>
      <c r="E54" s="286"/>
      <c r="F54" s="349">
        <f t="shared" si="34"/>
        <v>0</v>
      </c>
      <c r="G54" s="350">
        <f t="shared" si="32"/>
        <v>0</v>
      </c>
      <c r="H54" s="351">
        <f t="shared" si="33"/>
        <v>0</v>
      </c>
      <c r="I54" s="352">
        <f>IF(AND(D30&gt;0,H30=0,SUM(E30:$E$31)&gt;0,OR(AND(SUM(H30:$H$31)&gt;0),AND(SUM(H$12:$H30)&gt;0))),1,0)</f>
        <v>0</v>
      </c>
      <c r="J54" s="14"/>
      <c r="P54" s="285"/>
    </row>
    <row r="55" spans="3:16" ht="12" customHeight="1" hidden="1">
      <c r="C55" s="286"/>
      <c r="D55" s="286"/>
      <c r="E55" s="286"/>
      <c r="F55" s="349">
        <f t="shared" si="34"/>
        <v>0</v>
      </c>
      <c r="G55" s="350">
        <f t="shared" si="32"/>
        <v>0</v>
      </c>
      <c r="H55" s="351">
        <f t="shared" si="33"/>
        <v>0</v>
      </c>
      <c r="I55" s="352">
        <f>IF(AND(D31&gt;0,H31=0,SUM(E31:$E$31)&gt;0,OR(AND(SUM(H31:$H$31)&gt;0),AND(SUM(H$12:$H31)&gt;0))),1,0)</f>
        <v>0</v>
      </c>
      <c r="J55" s="14"/>
      <c r="P55" s="285"/>
    </row>
    <row r="56" spans="3:16" ht="12" customHeight="1" hidden="1">
      <c r="C56" s="286"/>
      <c r="D56" s="286"/>
      <c r="E56" s="286"/>
      <c r="F56" s="349">
        <f>SUM(F36:F55)</f>
        <v>0</v>
      </c>
      <c r="G56" s="350">
        <f>SUM(G36:G55)</f>
        <v>0</v>
      </c>
      <c r="H56" s="351">
        <f>MAXA(H36:H55)</f>
        <v>0</v>
      </c>
      <c r="I56" s="356">
        <f>SUM(I36:I55)</f>
        <v>0</v>
      </c>
      <c r="J56" s="21"/>
      <c r="K56" s="21"/>
      <c r="L56" s="21"/>
      <c r="M56" s="533"/>
      <c r="N56" s="534"/>
      <c r="O56" s="357"/>
      <c r="P56" s="285"/>
    </row>
    <row r="57" spans="3:10" ht="12" customHeight="1" hidden="1">
      <c r="C57" s="286"/>
      <c r="D57" s="286"/>
      <c r="E57" s="286"/>
      <c r="F57" s="345"/>
      <c r="G57" s="285"/>
      <c r="H57" s="337"/>
      <c r="I57" s="357"/>
      <c r="J57" s="14"/>
    </row>
    <row r="58" spans="3:10" ht="12" customHeight="1" hidden="1">
      <c r="C58" s="286"/>
      <c r="D58" s="286"/>
      <c r="E58" s="286"/>
      <c r="F58" s="345"/>
      <c r="G58" s="285"/>
      <c r="H58" s="337"/>
      <c r="I58" s="347"/>
      <c r="J58" s="14"/>
    </row>
    <row r="59" spans="3:10" ht="12" customHeight="1" hidden="1">
      <c r="C59" s="286"/>
      <c r="D59" s="286"/>
      <c r="E59" s="358"/>
      <c r="F59" s="359">
        <f aca="true" t="shared" si="35" ref="F59:F77">IF(E13&gt;E12,1,0)</f>
        <v>0</v>
      </c>
      <c r="G59" s="360">
        <f aca="true" t="shared" si="36" ref="G59:G78">IF(AND(D12&gt;0,E12&gt;0,F12=0),1,0)</f>
        <v>0</v>
      </c>
      <c r="H59" s="320"/>
      <c r="I59" s="357">
        <f aca="true" t="shared" si="37" ref="I59:I78">IF(AND(D12&gt;0,F12&gt;0,H12=0),1,0)</f>
        <v>0</v>
      </c>
      <c r="J59" s="14"/>
    </row>
    <row r="60" spans="3:10" ht="12" customHeight="1" hidden="1">
      <c r="C60" s="286"/>
      <c r="D60" s="286"/>
      <c r="E60" s="286"/>
      <c r="F60" s="359">
        <f t="shared" si="35"/>
        <v>0</v>
      </c>
      <c r="G60" s="360">
        <f t="shared" si="36"/>
        <v>0</v>
      </c>
      <c r="H60" s="320">
        <f>IF(AND(E13&gt;0,SUM(D13:$D$31)=0),1,0)</f>
        <v>0</v>
      </c>
      <c r="I60" s="357">
        <f t="shared" si="37"/>
        <v>0</v>
      </c>
      <c r="J60" s="14"/>
    </row>
    <row r="61" spans="3:10" ht="12" customHeight="1" hidden="1">
      <c r="C61" s="286"/>
      <c r="D61" s="286"/>
      <c r="E61" s="286"/>
      <c r="F61" s="359">
        <f t="shared" si="35"/>
        <v>0</v>
      </c>
      <c r="G61" s="360">
        <f t="shared" si="36"/>
        <v>0</v>
      </c>
      <c r="H61" s="320">
        <f>IF(AND(E14&gt;0,SUM(D14:$D$31)=0),1,0)</f>
        <v>0</v>
      </c>
      <c r="I61" s="357">
        <f t="shared" si="37"/>
        <v>0</v>
      </c>
      <c r="J61" s="14"/>
    </row>
    <row r="62" spans="3:10" ht="12" customHeight="1" hidden="1">
      <c r="C62" s="286"/>
      <c r="D62" s="286"/>
      <c r="E62" s="286"/>
      <c r="F62" s="359">
        <f t="shared" si="35"/>
        <v>0</v>
      </c>
      <c r="G62" s="360">
        <f t="shared" si="36"/>
        <v>0</v>
      </c>
      <c r="H62" s="320">
        <f>IF(AND(E15&gt;0,SUM(D15:$D$31)=0),1,0)</f>
        <v>0</v>
      </c>
      <c r="I62" s="357">
        <f t="shared" si="37"/>
        <v>0</v>
      </c>
      <c r="J62" s="14"/>
    </row>
    <row r="63" spans="3:10" ht="12" customHeight="1" hidden="1">
      <c r="C63" s="286"/>
      <c r="D63" s="286"/>
      <c r="E63" s="286"/>
      <c r="F63" s="359">
        <f t="shared" si="35"/>
        <v>0</v>
      </c>
      <c r="G63" s="360">
        <f t="shared" si="36"/>
        <v>0</v>
      </c>
      <c r="H63" s="320">
        <f>IF(AND(E16&gt;0,SUM(D16:$D$31)=0),1,0)</f>
        <v>0</v>
      </c>
      <c r="I63" s="357">
        <f t="shared" si="37"/>
        <v>0</v>
      </c>
      <c r="J63" s="14"/>
    </row>
    <row r="64" spans="3:10" ht="12" customHeight="1" hidden="1">
      <c r="C64" s="286"/>
      <c r="D64" s="286"/>
      <c r="E64" s="286"/>
      <c r="F64" s="359">
        <f t="shared" si="35"/>
        <v>0</v>
      </c>
      <c r="G64" s="360">
        <f t="shared" si="36"/>
        <v>0</v>
      </c>
      <c r="H64" s="320">
        <f>IF(AND(E17&gt;0,SUM(D17:$D$31)=0),1,0)</f>
        <v>0</v>
      </c>
      <c r="I64" s="357">
        <f t="shared" si="37"/>
        <v>0</v>
      </c>
      <c r="J64" s="14"/>
    </row>
    <row r="65" spans="3:10" ht="12" customHeight="1" hidden="1">
      <c r="C65" s="286"/>
      <c r="D65" s="286"/>
      <c r="E65" s="286"/>
      <c r="F65" s="359">
        <f t="shared" si="35"/>
        <v>0</v>
      </c>
      <c r="G65" s="360">
        <f t="shared" si="36"/>
        <v>0</v>
      </c>
      <c r="H65" s="320">
        <f>IF(AND(E18&gt;0,SUM(D18:$D$31)=0),1,0)</f>
        <v>0</v>
      </c>
      <c r="I65" s="357">
        <f t="shared" si="37"/>
        <v>0</v>
      </c>
      <c r="J65" s="14"/>
    </row>
    <row r="66" spans="3:10" ht="12" customHeight="1" hidden="1">
      <c r="C66" s="286"/>
      <c r="D66" s="286"/>
      <c r="E66" s="286"/>
      <c r="F66" s="359">
        <f t="shared" si="35"/>
        <v>0</v>
      </c>
      <c r="G66" s="360">
        <f t="shared" si="36"/>
        <v>0</v>
      </c>
      <c r="H66" s="320">
        <f>IF(AND(E19&gt;0,SUM(D19:$D$31)=0),1,0)</f>
        <v>0</v>
      </c>
      <c r="I66" s="357">
        <f t="shared" si="37"/>
        <v>0</v>
      </c>
      <c r="J66" s="14"/>
    </row>
    <row r="67" spans="3:10" ht="12" customHeight="1" hidden="1">
      <c r="C67" s="286"/>
      <c r="D67" s="286"/>
      <c r="E67" s="286"/>
      <c r="F67" s="359">
        <f t="shared" si="35"/>
        <v>0</v>
      </c>
      <c r="G67" s="360">
        <f t="shared" si="36"/>
        <v>0</v>
      </c>
      <c r="H67" s="320">
        <f>IF(AND(E20&gt;0,SUM(D20:$D$31)=0),1,0)</f>
        <v>0</v>
      </c>
      <c r="I67" s="357">
        <f t="shared" si="37"/>
        <v>0</v>
      </c>
      <c r="J67" s="14"/>
    </row>
    <row r="68" spans="3:10" ht="12" customHeight="1" hidden="1">
      <c r="C68" s="286"/>
      <c r="D68" s="286"/>
      <c r="E68" s="286"/>
      <c r="F68" s="359">
        <f t="shared" si="35"/>
        <v>0</v>
      </c>
      <c r="G68" s="360">
        <f t="shared" si="36"/>
        <v>0</v>
      </c>
      <c r="H68" s="320">
        <f>IF(AND(E21&gt;0,SUM(D21:$D$31)=0),1,0)</f>
        <v>0</v>
      </c>
      <c r="I68" s="357">
        <f t="shared" si="37"/>
        <v>0</v>
      </c>
      <c r="J68" s="14"/>
    </row>
    <row r="69" spans="3:10" ht="12" customHeight="1" hidden="1">
      <c r="C69" s="286"/>
      <c r="D69" s="286"/>
      <c r="E69" s="286"/>
      <c r="F69" s="359">
        <f t="shared" si="35"/>
        <v>0</v>
      </c>
      <c r="G69" s="360">
        <f t="shared" si="36"/>
        <v>0</v>
      </c>
      <c r="H69" s="320">
        <f>IF(AND(E22&gt;0,SUM(D22:$D$31)=0),1,0)</f>
        <v>0</v>
      </c>
      <c r="I69" s="357">
        <f t="shared" si="37"/>
        <v>0</v>
      </c>
      <c r="J69" s="14"/>
    </row>
    <row r="70" spans="3:10" ht="12" customHeight="1" hidden="1">
      <c r="C70" s="286"/>
      <c r="D70" s="286"/>
      <c r="E70" s="286"/>
      <c r="F70" s="359">
        <f t="shared" si="35"/>
        <v>0</v>
      </c>
      <c r="G70" s="360">
        <f t="shared" si="36"/>
        <v>0</v>
      </c>
      <c r="H70" s="320">
        <f>IF(AND(E23&gt;0,SUM(D23:$D$31)=0),1,0)</f>
        <v>0</v>
      </c>
      <c r="I70" s="357">
        <f t="shared" si="37"/>
        <v>0</v>
      </c>
      <c r="J70" s="14"/>
    </row>
    <row r="71" spans="3:10" ht="12" customHeight="1" hidden="1">
      <c r="C71" s="286"/>
      <c r="D71" s="286"/>
      <c r="E71" s="286"/>
      <c r="F71" s="359">
        <f>IF(E25&gt;E24,1,0)</f>
        <v>0</v>
      </c>
      <c r="G71" s="360">
        <f t="shared" si="36"/>
        <v>0</v>
      </c>
      <c r="H71" s="320">
        <f>IF(AND(E24&gt;0,SUM(D24:$D$31)=0),1,0)</f>
        <v>0</v>
      </c>
      <c r="I71" s="357">
        <f t="shared" si="37"/>
        <v>0</v>
      </c>
      <c r="J71" s="14"/>
    </row>
    <row r="72" spans="3:10" ht="12" customHeight="1" hidden="1">
      <c r="C72" s="286"/>
      <c r="D72" s="286"/>
      <c r="E72" s="286"/>
      <c r="F72" s="359">
        <f>IF(E26&gt;E25,1,0)</f>
        <v>0</v>
      </c>
      <c r="G72" s="360">
        <f>IF(AND(D25&gt;0,E25&gt;0,F25=0),1,0)</f>
        <v>0</v>
      </c>
      <c r="H72" s="320">
        <f>IF(AND(E25&gt;0,SUM(D25:$D$31)=0),1,0)</f>
        <v>0</v>
      </c>
      <c r="I72" s="357">
        <f>IF(AND(D25&gt;0,F25&gt;0,H25=0),1,0)</f>
        <v>0</v>
      </c>
      <c r="J72" s="14"/>
    </row>
    <row r="73" spans="3:10" ht="12" customHeight="1" hidden="1">
      <c r="C73" s="286"/>
      <c r="D73" s="286"/>
      <c r="E73" s="286"/>
      <c r="F73" s="359">
        <f t="shared" si="35"/>
        <v>0</v>
      </c>
      <c r="G73" s="360">
        <f t="shared" si="36"/>
        <v>0</v>
      </c>
      <c r="H73" s="320">
        <f>IF(AND(E26&gt;0,SUM(D26:$D$31)=0),1,0)</f>
        <v>0</v>
      </c>
      <c r="I73" s="357">
        <f t="shared" si="37"/>
        <v>0</v>
      </c>
      <c r="J73" s="14"/>
    </row>
    <row r="74" spans="3:10" ht="12" customHeight="1" hidden="1">
      <c r="C74" s="286"/>
      <c r="D74" s="286"/>
      <c r="E74" s="286"/>
      <c r="F74" s="359">
        <f t="shared" si="35"/>
        <v>0</v>
      </c>
      <c r="G74" s="360">
        <f t="shared" si="36"/>
        <v>0</v>
      </c>
      <c r="H74" s="320">
        <f>IF(AND(E27&gt;0,SUM(D27:$D$31)=0),1,0)</f>
        <v>0</v>
      </c>
      <c r="I74" s="357">
        <f t="shared" si="37"/>
        <v>0</v>
      </c>
      <c r="J74" s="14"/>
    </row>
    <row r="75" spans="3:10" ht="12" customHeight="1" hidden="1">
      <c r="C75" s="286"/>
      <c r="D75" s="286"/>
      <c r="E75" s="286"/>
      <c r="F75" s="359">
        <f t="shared" si="35"/>
        <v>0</v>
      </c>
      <c r="G75" s="360">
        <f t="shared" si="36"/>
        <v>0</v>
      </c>
      <c r="H75" s="320">
        <f>IF(AND(E28&gt;0,SUM(D28:$D$31)=0),1,0)</f>
        <v>0</v>
      </c>
      <c r="I75" s="357">
        <f t="shared" si="37"/>
        <v>0</v>
      </c>
      <c r="J75" s="14"/>
    </row>
    <row r="76" spans="3:10" ht="12" customHeight="1" hidden="1">
      <c r="C76" s="286"/>
      <c r="D76" s="286"/>
      <c r="E76" s="286"/>
      <c r="F76" s="359">
        <f t="shared" si="35"/>
        <v>0</v>
      </c>
      <c r="G76" s="360">
        <f t="shared" si="36"/>
        <v>0</v>
      </c>
      <c r="H76" s="320">
        <f>IF(AND(E29&gt;0,SUM(D29:$D$31)=0),1,0)</f>
        <v>0</v>
      </c>
      <c r="I76" s="357">
        <f t="shared" si="37"/>
        <v>0</v>
      </c>
      <c r="J76" s="14"/>
    </row>
    <row r="77" spans="3:10" ht="12" customHeight="1" hidden="1">
      <c r="C77" s="286"/>
      <c r="D77" s="286"/>
      <c r="E77" s="286"/>
      <c r="F77" s="359">
        <f t="shared" si="35"/>
        <v>0</v>
      </c>
      <c r="G77" s="360">
        <f t="shared" si="36"/>
        <v>0</v>
      </c>
      <c r="H77" s="320">
        <f>IF(AND(E30&gt;0,SUM(D30:$D$31)=0),1,0)</f>
        <v>0</v>
      </c>
      <c r="I77" s="357">
        <f t="shared" si="37"/>
        <v>0</v>
      </c>
      <c r="J77" s="14"/>
    </row>
    <row r="78" spans="3:10" ht="12" customHeight="1" hidden="1">
      <c r="C78" s="286"/>
      <c r="D78" s="286"/>
      <c r="E78" s="286"/>
      <c r="F78" s="359">
        <f>SUM(F59:F77)</f>
        <v>0</v>
      </c>
      <c r="G78" s="360">
        <f t="shared" si="36"/>
        <v>0</v>
      </c>
      <c r="H78" s="320">
        <f>IF(AND(E31&gt;0,SUM(D31:$D$31)=0),1,0)</f>
        <v>0</v>
      </c>
      <c r="I78" s="357">
        <f t="shared" si="37"/>
        <v>0</v>
      </c>
      <c r="J78" s="14"/>
    </row>
    <row r="79" spans="3:10" ht="12" customHeight="1" hidden="1">
      <c r="C79" s="286"/>
      <c r="D79" s="286"/>
      <c r="E79" s="286"/>
      <c r="F79" s="360"/>
      <c r="G79" s="360">
        <f>SUM(G59:G78)</f>
        <v>0</v>
      </c>
      <c r="H79" s="337">
        <f>SUM(H60:H78)</f>
        <v>0</v>
      </c>
      <c r="I79" s="357">
        <f>SUM(I59:I78)</f>
        <v>0</v>
      </c>
      <c r="J79" s="14"/>
    </row>
    <row r="80" spans="3:19" ht="12" customHeight="1" hidden="1">
      <c r="C80" s="286"/>
      <c r="D80" s="286"/>
      <c r="E80" s="345"/>
      <c r="F80" s="285"/>
      <c r="G80" s="337"/>
      <c r="H80" s="347"/>
      <c r="I80" s="317"/>
      <c r="J80" s="14"/>
      <c r="K80" s="394"/>
      <c r="S80" s="337"/>
    </row>
    <row r="81" spans="6:43" ht="12.75">
      <c r="F81" s="17"/>
      <c r="G81" s="19"/>
      <c r="H81" s="23"/>
      <c r="I81" s="4"/>
      <c r="J81" s="14"/>
      <c r="M81" s="337"/>
      <c r="N81" s="531"/>
      <c r="R81" s="286"/>
      <c r="S81" s="337"/>
      <c r="AQ81" s="345"/>
    </row>
    <row r="82" spans="6:43" ht="12.75">
      <c r="F82" s="17"/>
      <c r="G82" s="19"/>
      <c r="H82" s="23"/>
      <c r="I82" s="4"/>
      <c r="J82" s="14"/>
      <c r="K82" s="18"/>
      <c r="N82" s="531"/>
      <c r="R82" s="286"/>
      <c r="S82" s="337"/>
      <c r="AQ82" s="345"/>
    </row>
    <row r="83" spans="6:43" ht="12.75">
      <c r="F83" s="17"/>
      <c r="G83" s="19"/>
      <c r="H83" s="23"/>
      <c r="I83" s="4"/>
      <c r="J83" s="14"/>
      <c r="K83" s="18"/>
      <c r="N83" s="531"/>
      <c r="R83" s="286"/>
      <c r="S83" s="337"/>
      <c r="AQ83" s="345"/>
    </row>
    <row r="84" spans="6:43" ht="12.75">
      <c r="F84" s="17"/>
      <c r="G84" s="19"/>
      <c r="H84" s="23"/>
      <c r="I84" s="4"/>
      <c r="J84" s="14"/>
      <c r="N84" s="531"/>
      <c r="R84" s="286"/>
      <c r="S84" s="337"/>
      <c r="AQ84" s="345"/>
    </row>
    <row r="85" spans="6:43" ht="12.75">
      <c r="F85" s="17"/>
      <c r="G85" s="19"/>
      <c r="H85" s="23"/>
      <c r="I85" s="4"/>
      <c r="J85" s="14"/>
      <c r="N85" s="531"/>
      <c r="S85" s="337"/>
      <c r="AQ85" s="345"/>
    </row>
    <row r="86" spans="6:43" ht="12.75">
      <c r="F86" s="17"/>
      <c r="G86" s="19"/>
      <c r="H86" s="23"/>
      <c r="I86" s="4"/>
      <c r="J86" s="14"/>
      <c r="N86" s="531"/>
      <c r="S86" s="337"/>
      <c r="AQ86" s="345"/>
    </row>
    <row r="87" spans="6:43" ht="12.75">
      <c r="F87" s="17"/>
      <c r="G87" s="19"/>
      <c r="H87" s="23"/>
      <c r="I87" s="4"/>
      <c r="J87" s="14"/>
      <c r="N87" s="531"/>
      <c r="S87" s="337"/>
      <c r="AQ87" s="345"/>
    </row>
    <row r="88" spans="6:43" ht="12.75">
      <c r="F88" s="17"/>
      <c r="G88" s="19"/>
      <c r="H88" s="23"/>
      <c r="I88" s="4"/>
      <c r="J88" s="14"/>
      <c r="N88" s="531"/>
      <c r="S88" s="337"/>
      <c r="AQ88" s="345"/>
    </row>
    <row r="89" spans="6:43" ht="12.75">
      <c r="F89" s="17"/>
      <c r="G89" s="19"/>
      <c r="H89" s="23"/>
      <c r="I89" s="4"/>
      <c r="J89" s="14"/>
      <c r="N89" s="531"/>
      <c r="S89" s="337"/>
      <c r="AQ89" s="345"/>
    </row>
    <row r="90" spans="6:43" ht="12.75">
      <c r="F90" s="17"/>
      <c r="G90" s="19"/>
      <c r="H90" s="23"/>
      <c r="I90" s="4"/>
      <c r="J90" s="14"/>
      <c r="N90" s="531"/>
      <c r="S90" s="337"/>
      <c r="AQ90" s="345"/>
    </row>
    <row r="91" spans="6:43" ht="12.75">
      <c r="F91" s="17"/>
      <c r="G91" s="19"/>
      <c r="H91" s="23"/>
      <c r="I91" s="4"/>
      <c r="J91" s="14"/>
      <c r="N91" s="531"/>
      <c r="S91" s="337"/>
      <c r="AQ91" s="345"/>
    </row>
    <row r="92" spans="6:43" ht="12.75">
      <c r="F92" s="17"/>
      <c r="G92" s="19"/>
      <c r="H92" s="23"/>
      <c r="I92" s="4"/>
      <c r="J92" s="14"/>
      <c r="N92" s="531"/>
      <c r="S92" s="337"/>
      <c r="AQ92" s="345"/>
    </row>
    <row r="93" spans="6:43" ht="12.75">
      <c r="F93" s="17"/>
      <c r="G93" s="19"/>
      <c r="H93" s="23"/>
      <c r="I93" s="4"/>
      <c r="J93" s="14"/>
      <c r="N93" s="531"/>
      <c r="S93" s="337"/>
      <c r="AQ93" s="345"/>
    </row>
    <row r="94" spans="6:43" ht="12.75">
      <c r="F94" s="17"/>
      <c r="G94" s="19"/>
      <c r="H94" s="23"/>
      <c r="I94" s="4"/>
      <c r="J94" s="14"/>
      <c r="N94" s="531"/>
      <c r="S94" s="337"/>
      <c r="AQ94" s="345"/>
    </row>
    <row r="95" spans="6:43" ht="12.75">
      <c r="F95" s="17"/>
      <c r="G95" s="19"/>
      <c r="H95" s="23"/>
      <c r="I95" s="4"/>
      <c r="J95" s="14"/>
      <c r="N95" s="531"/>
      <c r="S95" s="337"/>
      <c r="AQ95" s="345"/>
    </row>
    <row r="96" spans="6:43" ht="12.75">
      <c r="F96" s="17"/>
      <c r="G96" s="19"/>
      <c r="H96" s="23"/>
      <c r="I96" s="4"/>
      <c r="J96" s="14"/>
      <c r="N96" s="531"/>
      <c r="S96" s="337"/>
      <c r="AQ96" s="345"/>
    </row>
    <row r="97" spans="6:43" ht="12.75">
      <c r="F97" s="17"/>
      <c r="G97" s="19"/>
      <c r="H97" s="23"/>
      <c r="I97" s="4"/>
      <c r="J97" s="14"/>
      <c r="N97" s="531"/>
      <c r="S97" s="337"/>
      <c r="AQ97" s="345"/>
    </row>
    <row r="98" spans="6:19" ht="12.75">
      <c r="F98" s="17"/>
      <c r="G98" s="19"/>
      <c r="H98" s="23"/>
      <c r="I98" s="4"/>
      <c r="J98" s="14"/>
      <c r="N98" s="531"/>
      <c r="S98" s="337"/>
    </row>
    <row r="99" spans="6:19" ht="12.75">
      <c r="F99" s="17"/>
      <c r="G99" s="19"/>
      <c r="H99" s="23"/>
      <c r="I99" s="4"/>
      <c r="J99" s="14"/>
      <c r="N99" s="531"/>
      <c r="S99" s="478"/>
    </row>
    <row r="100" spans="6:14" ht="12.75">
      <c r="F100" s="17"/>
      <c r="G100" s="19"/>
      <c r="H100" s="23"/>
      <c r="I100" s="4"/>
      <c r="J100" s="14"/>
      <c r="N100" s="337"/>
    </row>
    <row r="101" spans="6:10" ht="12.75">
      <c r="F101" s="17"/>
      <c r="G101" s="19"/>
      <c r="H101" s="23"/>
      <c r="I101" s="4"/>
      <c r="J101" s="14"/>
    </row>
    <row r="102" spans="6:10" ht="12.75">
      <c r="F102" s="17"/>
      <c r="G102" s="19"/>
      <c r="H102" s="23"/>
      <c r="I102" s="4"/>
      <c r="J102" s="14"/>
    </row>
    <row r="103" spans="6:10" ht="12.75">
      <c r="F103" s="17"/>
      <c r="G103" s="19"/>
      <c r="H103" s="23"/>
      <c r="I103" s="4"/>
      <c r="J103" s="14"/>
    </row>
    <row r="104" spans="6:10" ht="12.75">
      <c r="F104" s="17"/>
      <c r="G104" s="19"/>
      <c r="H104" s="23"/>
      <c r="I104" s="4"/>
      <c r="J104" s="14"/>
    </row>
    <row r="105" spans="6:10" ht="12.75">
      <c r="F105" s="17"/>
      <c r="G105" s="19"/>
      <c r="H105" s="23"/>
      <c r="I105" s="4"/>
      <c r="J105" s="14"/>
    </row>
    <row r="106" spans="6:10" ht="12.75">
      <c r="F106" s="17"/>
      <c r="G106" s="19"/>
      <c r="H106" s="23"/>
      <c r="I106" s="4"/>
      <c r="J106" s="14"/>
    </row>
    <row r="107" spans="6:10" ht="12.75">
      <c r="F107" s="17"/>
      <c r="G107" s="19"/>
      <c r="H107" s="23"/>
      <c r="I107" s="4"/>
      <c r="J107" s="14"/>
    </row>
    <row r="108" spans="6:10" ht="12.75">
      <c r="F108" s="17"/>
      <c r="G108" s="19"/>
      <c r="H108" s="23"/>
      <c r="I108" s="4"/>
      <c r="J108" s="14"/>
    </row>
    <row r="109" spans="6:10" ht="12.75">
      <c r="F109" s="17"/>
      <c r="G109" s="19"/>
      <c r="H109" s="23"/>
      <c r="I109" s="4"/>
      <c r="J109" s="14"/>
    </row>
    <row r="110" spans="6:10" ht="12.75">
      <c r="F110" s="17"/>
      <c r="G110" s="19"/>
      <c r="H110" s="23"/>
      <c r="I110" s="4"/>
      <c r="J110" s="14"/>
    </row>
    <row r="111" spans="6:10" ht="12.75">
      <c r="F111" s="17"/>
      <c r="G111" s="19"/>
      <c r="H111" s="23"/>
      <c r="I111" s="4"/>
      <c r="J111" s="14"/>
    </row>
    <row r="112" spans="6:10" ht="12.75">
      <c r="F112" s="17"/>
      <c r="G112" s="19"/>
      <c r="H112" s="23"/>
      <c r="I112" s="4"/>
      <c r="J112" s="14"/>
    </row>
    <row r="113" spans="6:10" ht="12.75">
      <c r="F113" s="17"/>
      <c r="G113" s="19"/>
      <c r="H113" s="23"/>
      <c r="I113" s="4"/>
      <c r="J113" s="14"/>
    </row>
    <row r="114" spans="6:10" ht="12.75">
      <c r="F114" s="17"/>
      <c r="G114" s="19"/>
      <c r="H114" s="23"/>
      <c r="I114" s="4"/>
      <c r="J114" s="14"/>
    </row>
    <row r="115" spans="6:10" ht="12.75">
      <c r="F115" s="17"/>
      <c r="G115" s="19"/>
      <c r="H115" s="23"/>
      <c r="I115" s="4"/>
      <c r="J115" s="14"/>
    </row>
    <row r="116" spans="6:10" ht="12.75">
      <c r="F116" s="17"/>
      <c r="G116" s="19"/>
      <c r="H116" s="23"/>
      <c r="I116" s="4"/>
      <c r="J116" s="14"/>
    </row>
    <row r="117" spans="6:10" ht="12.75">
      <c r="F117" s="17"/>
      <c r="G117" s="19"/>
      <c r="H117" s="23"/>
      <c r="I117" s="4"/>
      <c r="J117" s="14"/>
    </row>
    <row r="118" spans="6:10" ht="12.75">
      <c r="F118" s="17"/>
      <c r="G118" s="19"/>
      <c r="H118" s="23"/>
      <c r="I118" s="4"/>
      <c r="J118" s="14"/>
    </row>
    <row r="119" spans="6:10" ht="12.75">
      <c r="F119" s="17"/>
      <c r="G119" s="19"/>
      <c r="H119" s="23"/>
      <c r="I119" s="4"/>
      <c r="J119" s="14"/>
    </row>
    <row r="120" spans="6:10" ht="12.75">
      <c r="F120" s="17"/>
      <c r="G120" s="19"/>
      <c r="H120" s="23"/>
      <c r="I120" s="4"/>
      <c r="J120" s="14"/>
    </row>
    <row r="121" spans="6:10" ht="12.75">
      <c r="F121" s="17"/>
      <c r="G121" s="19"/>
      <c r="H121" s="23"/>
      <c r="I121" s="4"/>
      <c r="J121" s="14"/>
    </row>
    <row r="122" spans="6:10" ht="12.75">
      <c r="F122" s="17"/>
      <c r="G122" s="19"/>
      <c r="H122" s="23"/>
      <c r="I122" s="4"/>
      <c r="J122" s="14"/>
    </row>
    <row r="123" spans="6:10" ht="12.75">
      <c r="F123" s="17"/>
      <c r="G123" s="19"/>
      <c r="H123" s="23"/>
      <c r="I123" s="4"/>
      <c r="J123" s="14"/>
    </row>
    <row r="124" spans="6:10" ht="12.75">
      <c r="F124" s="17"/>
      <c r="G124" s="19"/>
      <c r="H124" s="23"/>
      <c r="I124" s="4"/>
      <c r="J124" s="14"/>
    </row>
    <row r="125" spans="6:10" ht="12.75">
      <c r="F125" s="17"/>
      <c r="G125" s="19"/>
      <c r="H125" s="23"/>
      <c r="I125" s="4"/>
      <c r="J125" s="14"/>
    </row>
    <row r="126" spans="6:10" ht="12.75">
      <c r="F126" s="17"/>
      <c r="G126" s="19"/>
      <c r="H126" s="23"/>
      <c r="I126" s="4"/>
      <c r="J126" s="14"/>
    </row>
    <row r="127" spans="6:10" ht="12.75">
      <c r="F127" s="17"/>
      <c r="G127" s="19"/>
      <c r="H127" s="23"/>
      <c r="I127" s="4"/>
      <c r="J127" s="14"/>
    </row>
    <row r="128" spans="6:10" ht="12.75">
      <c r="F128" s="17"/>
      <c r="G128" s="19"/>
      <c r="H128" s="23"/>
      <c r="I128" s="4"/>
      <c r="J128" s="14"/>
    </row>
    <row r="129" spans="6:10" ht="12.75">
      <c r="F129" s="17"/>
      <c r="G129" s="19"/>
      <c r="H129" s="23"/>
      <c r="I129" s="4"/>
      <c r="J129" s="14"/>
    </row>
    <row r="130" spans="6:10" ht="12.75">
      <c r="F130" s="17"/>
      <c r="G130" s="19"/>
      <c r="H130" s="23"/>
      <c r="I130" s="4"/>
      <c r="J130" s="14"/>
    </row>
    <row r="131" spans="6:10" ht="12.75">
      <c r="F131" s="17"/>
      <c r="G131" s="19"/>
      <c r="H131" s="23"/>
      <c r="I131" s="4"/>
      <c r="J131" s="14"/>
    </row>
    <row r="132" spans="6:10" ht="12.75">
      <c r="F132" s="17"/>
      <c r="G132" s="19"/>
      <c r="H132" s="23"/>
      <c r="I132" s="4"/>
      <c r="J132" s="14"/>
    </row>
    <row r="133" spans="6:10" ht="12.75">
      <c r="F133" s="17"/>
      <c r="G133" s="19"/>
      <c r="H133" s="23"/>
      <c r="I133" s="4"/>
      <c r="J133" s="14"/>
    </row>
    <row r="134" spans="6:10" ht="12.75">
      <c r="F134" s="17"/>
      <c r="G134" s="19"/>
      <c r="H134" s="23"/>
      <c r="I134" s="4"/>
      <c r="J134" s="14"/>
    </row>
    <row r="135" spans="6:10" ht="12.75">
      <c r="F135" s="17"/>
      <c r="G135" s="19"/>
      <c r="H135" s="23"/>
      <c r="I135" s="4"/>
      <c r="J135" s="14"/>
    </row>
    <row r="136" spans="6:10" ht="12.75">
      <c r="F136" s="17"/>
      <c r="G136" s="19"/>
      <c r="H136" s="23"/>
      <c r="I136" s="4"/>
      <c r="J136" s="14"/>
    </row>
    <row r="137" spans="6:10" ht="12.75">
      <c r="F137" s="17"/>
      <c r="G137" s="19"/>
      <c r="H137" s="23"/>
      <c r="I137" s="4"/>
      <c r="J137" s="14"/>
    </row>
    <row r="138" spans="6:10" ht="12.75">
      <c r="F138" s="17"/>
      <c r="G138" s="19"/>
      <c r="H138" s="23"/>
      <c r="I138" s="4"/>
      <c r="J138" s="14"/>
    </row>
    <row r="139" spans="6:10" ht="12.75">
      <c r="F139" s="17"/>
      <c r="G139" s="19"/>
      <c r="H139" s="23"/>
      <c r="I139" s="4"/>
      <c r="J139" s="14"/>
    </row>
    <row r="140" spans="6:10" ht="12.75">
      <c r="F140" s="17"/>
      <c r="G140" s="19"/>
      <c r="H140" s="23"/>
      <c r="I140" s="4"/>
      <c r="J140" s="14"/>
    </row>
    <row r="141" spans="6:10" ht="12.75">
      <c r="F141" s="17"/>
      <c r="G141" s="19"/>
      <c r="H141" s="23"/>
      <c r="I141" s="4"/>
      <c r="J141" s="14"/>
    </row>
    <row r="142" spans="6:10" ht="12.75">
      <c r="F142" s="17"/>
      <c r="G142" s="19"/>
      <c r="H142" s="23"/>
      <c r="I142" s="4"/>
      <c r="J142" s="14"/>
    </row>
    <row r="143" spans="6:10" ht="12.75">
      <c r="F143" s="17"/>
      <c r="G143" s="19"/>
      <c r="H143" s="23"/>
      <c r="I143" s="4"/>
      <c r="J143" s="14"/>
    </row>
    <row r="144" spans="6:10" ht="12.75">
      <c r="F144" s="17"/>
      <c r="G144" s="19"/>
      <c r="H144" s="23"/>
      <c r="I144" s="4"/>
      <c r="J144" s="14"/>
    </row>
    <row r="145" spans="6:10" ht="12.75">
      <c r="F145" s="17"/>
      <c r="G145" s="19"/>
      <c r="H145" s="23"/>
      <c r="I145" s="4"/>
      <c r="J145" s="14"/>
    </row>
    <row r="146" spans="6:10" ht="12.75">
      <c r="F146" s="17"/>
      <c r="G146" s="19"/>
      <c r="H146" s="23"/>
      <c r="I146" s="4"/>
      <c r="J146" s="14"/>
    </row>
    <row r="147" spans="6:10" ht="12.75">
      <c r="F147" s="17"/>
      <c r="G147" s="19"/>
      <c r="H147" s="23"/>
      <c r="I147" s="4"/>
      <c r="J147" s="14"/>
    </row>
    <row r="148" spans="6:10" ht="12.75">
      <c r="F148" s="17"/>
      <c r="G148" s="19"/>
      <c r="H148" s="23"/>
      <c r="I148" s="4"/>
      <c r="J148" s="14"/>
    </row>
    <row r="149" spans="6:10" ht="12.75">
      <c r="F149" s="17"/>
      <c r="G149" s="19"/>
      <c r="H149" s="23"/>
      <c r="I149" s="4"/>
      <c r="J149" s="14"/>
    </row>
    <row r="150" spans="6:10" ht="12.75">
      <c r="F150" s="17"/>
      <c r="G150" s="19"/>
      <c r="H150" s="23"/>
      <c r="I150" s="4"/>
      <c r="J150" s="14"/>
    </row>
    <row r="151" spans="6:10" ht="12.75">
      <c r="F151" s="17"/>
      <c r="G151" s="19"/>
      <c r="H151" s="23"/>
      <c r="I151" s="4"/>
      <c r="J151" s="14"/>
    </row>
    <row r="152" spans="6:10" ht="12.75">
      <c r="F152" s="17"/>
      <c r="G152" s="19"/>
      <c r="H152" s="23"/>
      <c r="I152" s="4"/>
      <c r="J152" s="14"/>
    </row>
    <row r="153" spans="6:10" ht="12.75">
      <c r="F153" s="17"/>
      <c r="G153" s="19"/>
      <c r="H153" s="23"/>
      <c r="I153" s="4"/>
      <c r="J153" s="14"/>
    </row>
    <row r="154" spans="6:10" ht="12.75">
      <c r="F154" s="17"/>
      <c r="G154" s="19"/>
      <c r="H154" s="23"/>
      <c r="I154" s="4"/>
      <c r="J154" s="14"/>
    </row>
    <row r="155" spans="6:10" ht="12.75">
      <c r="F155" s="17"/>
      <c r="G155" s="19"/>
      <c r="H155" s="23"/>
      <c r="I155" s="4"/>
      <c r="J155" s="14"/>
    </row>
    <row r="156" spans="6:10" ht="12.75">
      <c r="F156" s="17"/>
      <c r="G156" s="19"/>
      <c r="H156" s="23"/>
      <c r="I156" s="4"/>
      <c r="J156" s="14"/>
    </row>
    <row r="157" spans="6:10" ht="12.75">
      <c r="F157" s="17"/>
      <c r="G157" s="19"/>
      <c r="H157" s="23"/>
      <c r="I157" s="4"/>
      <c r="J157" s="14"/>
    </row>
    <row r="158" spans="6:10" ht="12.75">
      <c r="F158" s="17"/>
      <c r="G158" s="19"/>
      <c r="H158" s="23"/>
      <c r="I158" s="4"/>
      <c r="J158" s="14"/>
    </row>
    <row r="159" spans="6:10" ht="12.75">
      <c r="F159" s="17"/>
      <c r="G159" s="19"/>
      <c r="H159" s="23"/>
      <c r="I159" s="4"/>
      <c r="J159" s="14"/>
    </row>
    <row r="160" spans="6:10" ht="12.75">
      <c r="F160" s="17"/>
      <c r="G160" s="19"/>
      <c r="H160" s="23"/>
      <c r="I160" s="4"/>
      <c r="J160" s="14"/>
    </row>
    <row r="161" spans="6:10" ht="12.75">
      <c r="F161" s="17"/>
      <c r="G161" s="19"/>
      <c r="H161" s="23"/>
      <c r="I161" s="4"/>
      <c r="J161" s="14"/>
    </row>
    <row r="162" spans="6:10" ht="12.75">
      <c r="F162" s="17"/>
      <c r="G162" s="19"/>
      <c r="H162" s="23"/>
      <c r="I162" s="4"/>
      <c r="J162" s="14"/>
    </row>
    <row r="163" spans="6:10" ht="12.75">
      <c r="F163" s="17"/>
      <c r="G163" s="19"/>
      <c r="H163" s="23"/>
      <c r="I163" s="4"/>
      <c r="J163" s="14"/>
    </row>
    <row r="164" spans="6:10" ht="12.75">
      <c r="F164" s="17"/>
      <c r="G164" s="19"/>
      <c r="H164" s="23"/>
      <c r="I164" s="4"/>
      <c r="J164" s="14"/>
    </row>
    <row r="165" spans="6:10" ht="12.75">
      <c r="F165" s="17"/>
      <c r="G165" s="19"/>
      <c r="H165" s="23"/>
      <c r="I165" s="4"/>
      <c r="J165" s="14"/>
    </row>
    <row r="166" spans="6:10" ht="12.75">
      <c r="F166" s="17"/>
      <c r="G166" s="19"/>
      <c r="H166" s="23"/>
      <c r="I166" s="4"/>
      <c r="J166" s="14"/>
    </row>
    <row r="167" spans="6:10" ht="12.75">
      <c r="F167" s="17"/>
      <c r="G167" s="19"/>
      <c r="H167" s="23"/>
      <c r="I167" s="4"/>
      <c r="J167" s="14"/>
    </row>
    <row r="168" spans="6:10" ht="12.75">
      <c r="F168" s="17"/>
      <c r="G168" s="19"/>
      <c r="H168" s="23"/>
      <c r="I168" s="4"/>
      <c r="J168" s="14"/>
    </row>
    <row r="169" spans="6:10" ht="12.75">
      <c r="F169" s="17"/>
      <c r="G169" s="19"/>
      <c r="H169" s="23"/>
      <c r="I169" s="4"/>
      <c r="J169" s="14"/>
    </row>
    <row r="170" spans="6:10" ht="12.75">
      <c r="F170" s="17"/>
      <c r="G170" s="19"/>
      <c r="H170" s="23"/>
      <c r="I170" s="4"/>
      <c r="J170" s="14"/>
    </row>
    <row r="171" spans="6:10" ht="12.75">
      <c r="F171" s="17"/>
      <c r="G171" s="19"/>
      <c r="H171" s="23"/>
      <c r="I171" s="4"/>
      <c r="J171" s="14"/>
    </row>
    <row r="172" spans="6:10" ht="12.75">
      <c r="F172" s="17"/>
      <c r="G172" s="19"/>
      <c r="H172" s="23"/>
      <c r="I172" s="4"/>
      <c r="J172" s="14"/>
    </row>
    <row r="173" spans="6:10" ht="12.75">
      <c r="F173" s="17"/>
      <c r="G173" s="19"/>
      <c r="H173" s="23"/>
      <c r="I173" s="4"/>
      <c r="J173" s="14"/>
    </row>
    <row r="174" spans="6:10" ht="12.75">
      <c r="F174" s="17"/>
      <c r="G174" s="19"/>
      <c r="H174" s="23"/>
      <c r="I174" s="4"/>
      <c r="J174" s="14"/>
    </row>
    <row r="175" spans="6:10" ht="12.75">
      <c r="F175" s="17"/>
      <c r="G175" s="19"/>
      <c r="H175" s="23"/>
      <c r="I175" s="4"/>
      <c r="J175" s="14"/>
    </row>
    <row r="176" spans="6:10" ht="12.75">
      <c r="F176" s="17"/>
      <c r="G176" s="19"/>
      <c r="H176" s="23"/>
      <c r="I176" s="4"/>
      <c r="J176" s="14"/>
    </row>
    <row r="177" spans="6:10" ht="12.75">
      <c r="F177" s="17"/>
      <c r="G177" s="19"/>
      <c r="H177" s="23"/>
      <c r="I177" s="4"/>
      <c r="J177" s="14"/>
    </row>
    <row r="178" spans="6:10" ht="12.75">
      <c r="F178" s="17"/>
      <c r="G178" s="19"/>
      <c r="H178" s="23"/>
      <c r="I178" s="4"/>
      <c r="J178" s="14"/>
    </row>
    <row r="179" spans="6:10" ht="12.75">
      <c r="F179" s="17"/>
      <c r="G179" s="19"/>
      <c r="H179" s="23"/>
      <c r="I179" s="4"/>
      <c r="J179" s="14"/>
    </row>
    <row r="180" spans="6:10" ht="12.75">
      <c r="F180" s="17"/>
      <c r="G180" s="19"/>
      <c r="H180" s="23"/>
      <c r="I180" s="4"/>
      <c r="J180" s="14"/>
    </row>
    <row r="181" spans="6:10" ht="12.75">
      <c r="F181" s="17"/>
      <c r="G181" s="19"/>
      <c r="H181" s="23"/>
      <c r="I181" s="4"/>
      <c r="J181" s="14"/>
    </row>
    <row r="182" spans="6:10" ht="12.75">
      <c r="F182" s="17"/>
      <c r="G182" s="19"/>
      <c r="H182" s="23"/>
      <c r="I182" s="4"/>
      <c r="J182" s="14"/>
    </row>
    <row r="183" spans="6:10" ht="12.75">
      <c r="F183" s="17"/>
      <c r="G183" s="19"/>
      <c r="H183" s="23"/>
      <c r="I183" s="4"/>
      <c r="J183" s="14"/>
    </row>
    <row r="184" spans="6:10" ht="12.75">
      <c r="F184" s="17"/>
      <c r="G184" s="19"/>
      <c r="H184" s="23"/>
      <c r="I184" s="4"/>
      <c r="J184" s="14"/>
    </row>
    <row r="185" spans="6:10" ht="12.75">
      <c r="F185" s="17"/>
      <c r="G185" s="19"/>
      <c r="H185" s="23"/>
      <c r="I185" s="4"/>
      <c r="J185" s="14"/>
    </row>
    <row r="186" spans="6:10" ht="12.75">
      <c r="F186" s="17"/>
      <c r="G186" s="19"/>
      <c r="H186" s="23"/>
      <c r="I186" s="4"/>
      <c r="J186" s="14"/>
    </row>
    <row r="187" spans="6:10" ht="12.75">
      <c r="F187" s="17"/>
      <c r="G187" s="19"/>
      <c r="H187" s="23"/>
      <c r="I187" s="4"/>
      <c r="J187" s="14"/>
    </row>
    <row r="188" spans="6:10" ht="12.75">
      <c r="F188" s="17"/>
      <c r="G188" s="19"/>
      <c r="H188" s="23"/>
      <c r="I188" s="4"/>
      <c r="J188" s="14"/>
    </row>
    <row r="189" spans="6:10" ht="12.75">
      <c r="F189" s="17"/>
      <c r="G189" s="19"/>
      <c r="H189" s="23"/>
      <c r="I189" s="4"/>
      <c r="J189" s="14"/>
    </row>
    <row r="190" spans="6:10" ht="12.75">
      <c r="F190" s="17"/>
      <c r="G190" s="19"/>
      <c r="H190" s="23"/>
      <c r="I190" s="4"/>
      <c r="J190" s="14"/>
    </row>
    <row r="191" spans="6:10" ht="12.75">
      <c r="F191" s="17"/>
      <c r="G191" s="19"/>
      <c r="H191" s="23"/>
      <c r="I191" s="4"/>
      <c r="J191" s="14"/>
    </row>
    <row r="192" spans="6:10" ht="12.75">
      <c r="F192" s="17"/>
      <c r="G192" s="19"/>
      <c r="H192" s="23"/>
      <c r="I192" s="4"/>
      <c r="J192" s="14"/>
    </row>
    <row r="193" spans="6:10" ht="12.75">
      <c r="F193" s="17"/>
      <c r="G193" s="19"/>
      <c r="H193" s="23"/>
      <c r="I193" s="4"/>
      <c r="J193" s="14"/>
    </row>
    <row r="194" spans="6:10" ht="12.75">
      <c r="F194" s="17"/>
      <c r="G194" s="19"/>
      <c r="H194" s="23"/>
      <c r="I194" s="4"/>
      <c r="J194" s="14"/>
    </row>
    <row r="195" spans="6:10" ht="12.75">
      <c r="F195" s="17"/>
      <c r="G195" s="19"/>
      <c r="H195" s="23"/>
      <c r="I195" s="4"/>
      <c r="J195" s="14"/>
    </row>
    <row r="196" spans="6:10" ht="12.75">
      <c r="F196" s="17"/>
      <c r="G196" s="19"/>
      <c r="H196" s="23"/>
      <c r="I196" s="4"/>
      <c r="J196" s="14"/>
    </row>
    <row r="197" spans="6:10" ht="12.75">
      <c r="F197" s="17"/>
      <c r="G197" s="19"/>
      <c r="H197" s="23"/>
      <c r="I197" s="4"/>
      <c r="J197" s="14"/>
    </row>
    <row r="198" spans="6:10" ht="12.75">
      <c r="F198" s="17"/>
      <c r="G198" s="19"/>
      <c r="H198" s="23"/>
      <c r="I198" s="4"/>
      <c r="J198" s="14"/>
    </row>
    <row r="199" spans="6:10" ht="12.75">
      <c r="F199" s="17"/>
      <c r="G199" s="19"/>
      <c r="H199" s="23"/>
      <c r="I199" s="4"/>
      <c r="J199" s="14"/>
    </row>
    <row r="200" spans="6:10" ht="12.75">
      <c r="F200" s="17"/>
      <c r="G200" s="19"/>
      <c r="H200" s="23"/>
      <c r="I200" s="4"/>
      <c r="J200" s="14"/>
    </row>
    <row r="201" spans="6:10" ht="12.75">
      <c r="F201" s="17"/>
      <c r="G201" s="19"/>
      <c r="H201" s="23"/>
      <c r="I201" s="4"/>
      <c r="J201" s="14"/>
    </row>
    <row r="202" spans="6:10" ht="12.75">
      <c r="F202" s="17"/>
      <c r="G202" s="19"/>
      <c r="H202" s="23"/>
      <c r="I202" s="4"/>
      <c r="J202" s="14"/>
    </row>
    <row r="203" spans="6:10" ht="12.75">
      <c r="F203" s="17"/>
      <c r="G203" s="19"/>
      <c r="H203" s="23"/>
      <c r="I203" s="4"/>
      <c r="J203" s="14"/>
    </row>
    <row r="204" spans="6:10" ht="12.75">
      <c r="F204" s="17"/>
      <c r="G204" s="19"/>
      <c r="H204" s="23"/>
      <c r="I204" s="4"/>
      <c r="J204" s="14"/>
    </row>
    <row r="205" spans="6:10" ht="12.75">
      <c r="F205" s="17"/>
      <c r="G205" s="19"/>
      <c r="H205" s="23"/>
      <c r="I205" s="4"/>
      <c r="J205" s="14"/>
    </row>
    <row r="206" spans="6:10" ht="12.75">
      <c r="F206" s="17"/>
      <c r="G206" s="19"/>
      <c r="H206" s="23"/>
      <c r="I206" s="4"/>
      <c r="J206" s="14"/>
    </row>
    <row r="207" spans="6:10" ht="12.75">
      <c r="F207" s="17"/>
      <c r="G207" s="19"/>
      <c r="H207" s="23"/>
      <c r="I207" s="4"/>
      <c r="J207" s="14"/>
    </row>
    <row r="208" spans="6:10" ht="12.75">
      <c r="F208" s="17"/>
      <c r="G208" s="19"/>
      <c r="H208" s="23"/>
      <c r="I208" s="4"/>
      <c r="J208" s="14"/>
    </row>
    <row r="209" spans="6:10" ht="12.75">
      <c r="F209" s="17"/>
      <c r="G209" s="19"/>
      <c r="H209" s="23"/>
      <c r="I209" s="4"/>
      <c r="J209" s="14"/>
    </row>
    <row r="210" spans="6:10" ht="12.75">
      <c r="F210" s="17"/>
      <c r="G210" s="19"/>
      <c r="H210" s="23"/>
      <c r="I210" s="4"/>
      <c r="J210" s="14"/>
    </row>
    <row r="211" spans="6:10" ht="12.75">
      <c r="F211" s="17"/>
      <c r="G211" s="19"/>
      <c r="H211" s="23"/>
      <c r="I211" s="4"/>
      <c r="J211" s="14"/>
    </row>
    <row r="212" spans="6:10" ht="12.75">
      <c r="F212" s="17"/>
      <c r="G212" s="19"/>
      <c r="H212" s="23"/>
      <c r="I212" s="4"/>
      <c r="J212" s="14"/>
    </row>
    <row r="213" spans="6:10" ht="12.75">
      <c r="F213" s="17"/>
      <c r="G213" s="19"/>
      <c r="H213" s="23"/>
      <c r="I213" s="4"/>
      <c r="J213" s="14"/>
    </row>
    <row r="214" spans="6:10" ht="12.75">
      <c r="F214" s="17"/>
      <c r="G214" s="19"/>
      <c r="H214" s="23"/>
      <c r="I214" s="4"/>
      <c r="J214" s="14"/>
    </row>
    <row r="215" spans="6:10" ht="12.75">
      <c r="F215" s="17"/>
      <c r="G215" s="19"/>
      <c r="H215" s="23"/>
      <c r="I215" s="4"/>
      <c r="J215" s="14"/>
    </row>
    <row r="216" spans="6:10" ht="12.75">
      <c r="F216" s="17"/>
      <c r="G216" s="19"/>
      <c r="H216" s="23"/>
      <c r="I216" s="4"/>
      <c r="J216" s="14"/>
    </row>
    <row r="217" spans="6:10" ht="12.75">
      <c r="F217" s="17"/>
      <c r="G217" s="19"/>
      <c r="H217" s="23"/>
      <c r="I217" s="4"/>
      <c r="J217" s="14"/>
    </row>
    <row r="218" spans="6:10" ht="12.75">
      <c r="F218" s="17"/>
      <c r="G218" s="19"/>
      <c r="H218" s="23"/>
      <c r="I218" s="4"/>
      <c r="J218" s="14"/>
    </row>
    <row r="219" spans="6:10" ht="12.75">
      <c r="F219" s="17"/>
      <c r="G219" s="19"/>
      <c r="H219" s="23"/>
      <c r="I219" s="4"/>
      <c r="J219" s="14"/>
    </row>
    <row r="220" spans="6:10" ht="12.75">
      <c r="F220" s="17"/>
      <c r="G220" s="19"/>
      <c r="H220" s="23"/>
      <c r="I220" s="4"/>
      <c r="J220" s="14"/>
    </row>
    <row r="221" spans="6:10" ht="12.75">
      <c r="F221" s="17"/>
      <c r="G221" s="19"/>
      <c r="H221" s="23"/>
      <c r="I221" s="4"/>
      <c r="J221" s="14"/>
    </row>
    <row r="222" spans="6:10" ht="12.75">
      <c r="F222" s="17"/>
      <c r="G222" s="19"/>
      <c r="H222" s="23"/>
      <c r="I222" s="4"/>
      <c r="J222" s="14"/>
    </row>
    <row r="223" spans="6:10" ht="12.75">
      <c r="F223" s="17"/>
      <c r="G223" s="19"/>
      <c r="H223" s="23"/>
      <c r="I223" s="4"/>
      <c r="J223" s="14"/>
    </row>
    <row r="224" spans="6:10" ht="12.75">
      <c r="F224" s="17"/>
      <c r="G224" s="19"/>
      <c r="H224" s="23"/>
      <c r="I224" s="4"/>
      <c r="J224" s="14"/>
    </row>
    <row r="225" spans="6:10" ht="12.75">
      <c r="F225" s="17"/>
      <c r="G225" s="19"/>
      <c r="H225" s="23"/>
      <c r="I225" s="4"/>
      <c r="J225" s="14"/>
    </row>
    <row r="226" spans="6:10" ht="12.75">
      <c r="F226" s="17"/>
      <c r="G226" s="19"/>
      <c r="H226" s="23"/>
      <c r="I226" s="4"/>
      <c r="J226" s="14"/>
    </row>
    <row r="227" spans="6:10" ht="12.75">
      <c r="F227" s="17"/>
      <c r="G227" s="19"/>
      <c r="H227" s="23"/>
      <c r="I227" s="4"/>
      <c r="J227" s="14"/>
    </row>
    <row r="228" spans="6:10" ht="12.75">
      <c r="F228" s="17"/>
      <c r="G228" s="19"/>
      <c r="H228" s="23"/>
      <c r="I228" s="4"/>
      <c r="J228" s="14"/>
    </row>
    <row r="229" spans="6:10" ht="12.75">
      <c r="F229" s="17"/>
      <c r="G229" s="19"/>
      <c r="H229" s="23"/>
      <c r="I229" s="4"/>
      <c r="J229" s="14"/>
    </row>
    <row r="230" spans="6:10" ht="12.75">
      <c r="F230" s="17"/>
      <c r="G230" s="19"/>
      <c r="H230" s="23"/>
      <c r="I230" s="4"/>
      <c r="J230" s="14"/>
    </row>
    <row r="231" spans="6:10" ht="12.75">
      <c r="F231" s="17"/>
      <c r="G231" s="19"/>
      <c r="H231" s="23"/>
      <c r="I231" s="4"/>
      <c r="J231" s="14"/>
    </row>
    <row r="232" spans="6:10" ht="12.75">
      <c r="F232" s="17"/>
      <c r="G232" s="19"/>
      <c r="H232" s="23"/>
      <c r="I232" s="4"/>
      <c r="J232" s="14"/>
    </row>
    <row r="233" spans="6:10" ht="12.75">
      <c r="F233" s="17"/>
      <c r="G233" s="19"/>
      <c r="H233" s="23"/>
      <c r="I233" s="4"/>
      <c r="J233" s="14"/>
    </row>
    <row r="234" spans="6:10" ht="12.75">
      <c r="F234" s="17"/>
      <c r="G234" s="19"/>
      <c r="H234" s="23"/>
      <c r="I234" s="4"/>
      <c r="J234" s="14"/>
    </row>
    <row r="235" spans="6:10" ht="12.75">
      <c r="F235" s="17"/>
      <c r="G235" s="19"/>
      <c r="H235" s="23"/>
      <c r="I235" s="4"/>
      <c r="J235" s="14"/>
    </row>
    <row r="236" spans="6:10" ht="12.75">
      <c r="F236" s="17"/>
      <c r="G236" s="19"/>
      <c r="H236" s="23"/>
      <c r="I236" s="4"/>
      <c r="J236" s="14"/>
    </row>
    <row r="237" spans="6:10" ht="12.75">
      <c r="F237" s="17"/>
      <c r="G237" s="19"/>
      <c r="H237" s="23"/>
      <c r="I237" s="4"/>
      <c r="J237" s="14"/>
    </row>
    <row r="238" spans="6:10" ht="12.75">
      <c r="F238" s="17"/>
      <c r="G238" s="19"/>
      <c r="H238" s="23"/>
      <c r="I238" s="4"/>
      <c r="J238" s="14"/>
    </row>
    <row r="239" spans="6:10" ht="12.75">
      <c r="F239" s="17"/>
      <c r="G239" s="19"/>
      <c r="H239" s="23"/>
      <c r="I239" s="4"/>
      <c r="J239" s="14"/>
    </row>
    <row r="240" spans="6:10" ht="12.75">
      <c r="F240" s="17"/>
      <c r="G240" s="19"/>
      <c r="H240" s="23"/>
      <c r="I240" s="4"/>
      <c r="J240" s="14"/>
    </row>
    <row r="241" spans="6:10" ht="12.75">
      <c r="F241" s="17"/>
      <c r="G241" s="19"/>
      <c r="H241" s="23"/>
      <c r="I241" s="4"/>
      <c r="J241" s="14"/>
    </row>
    <row r="242" spans="6:10" ht="12.75">
      <c r="F242" s="17"/>
      <c r="G242" s="19"/>
      <c r="H242" s="23"/>
      <c r="I242" s="4"/>
      <c r="J242" s="14"/>
    </row>
    <row r="243" spans="6:10" ht="12.75">
      <c r="F243" s="17"/>
      <c r="G243" s="19"/>
      <c r="H243" s="23"/>
      <c r="I243" s="4"/>
      <c r="J243" s="14"/>
    </row>
    <row r="244" spans="6:10" ht="12.75">
      <c r="F244" s="17"/>
      <c r="G244" s="19"/>
      <c r="H244" s="23"/>
      <c r="I244" s="4"/>
      <c r="J244" s="14"/>
    </row>
    <row r="245" spans="6:10" ht="12.75">
      <c r="F245" s="17"/>
      <c r="G245" s="19"/>
      <c r="H245" s="23"/>
      <c r="I245" s="4"/>
      <c r="J245" s="14"/>
    </row>
    <row r="246" spans="6:10" ht="12.75">
      <c r="F246" s="17"/>
      <c r="G246" s="19"/>
      <c r="H246" s="23"/>
      <c r="I246" s="4"/>
      <c r="J246" s="14"/>
    </row>
    <row r="247" spans="6:10" ht="12.75">
      <c r="F247" s="17"/>
      <c r="G247" s="19"/>
      <c r="H247" s="23"/>
      <c r="I247" s="4"/>
      <c r="J247" s="14"/>
    </row>
    <row r="248" spans="6:10" ht="12.75">
      <c r="F248" s="17"/>
      <c r="G248" s="19"/>
      <c r="H248" s="23"/>
      <c r="I248" s="4"/>
      <c r="J248" s="14"/>
    </row>
    <row r="249" spans="6:10" ht="12.75">
      <c r="F249" s="17"/>
      <c r="G249" s="19"/>
      <c r="H249" s="23"/>
      <c r="I249" s="4"/>
      <c r="J249" s="14"/>
    </row>
    <row r="250" spans="6:10" ht="12.75">
      <c r="F250" s="17"/>
      <c r="G250" s="19"/>
      <c r="H250" s="23"/>
      <c r="I250" s="4"/>
      <c r="J250" s="14"/>
    </row>
    <row r="251" spans="6:10" ht="12.75">
      <c r="F251" s="17"/>
      <c r="G251" s="19"/>
      <c r="H251" s="23"/>
      <c r="I251" s="4"/>
      <c r="J251" s="14"/>
    </row>
    <row r="252" spans="6:10" ht="12.75">
      <c r="F252" s="17"/>
      <c r="G252" s="19"/>
      <c r="H252" s="23"/>
      <c r="I252" s="4"/>
      <c r="J252" s="14"/>
    </row>
    <row r="253" spans="6:10" ht="12.75">
      <c r="F253" s="17"/>
      <c r="G253" s="19"/>
      <c r="H253" s="23"/>
      <c r="I253" s="4"/>
      <c r="J253" s="14"/>
    </row>
    <row r="254" spans="6:10" ht="12.75">
      <c r="F254" s="17"/>
      <c r="G254" s="19"/>
      <c r="H254" s="23"/>
      <c r="I254" s="4"/>
      <c r="J254" s="14"/>
    </row>
    <row r="255" spans="6:10" ht="12.75">
      <c r="F255" s="17"/>
      <c r="G255" s="19"/>
      <c r="H255" s="23"/>
      <c r="I255" s="4"/>
      <c r="J255" s="14"/>
    </row>
    <row r="256" spans="6:10" ht="12.75">
      <c r="F256" s="17"/>
      <c r="G256" s="19"/>
      <c r="H256" s="23"/>
      <c r="I256" s="4"/>
      <c r="J256" s="14"/>
    </row>
    <row r="257" spans="6:10" ht="12.75">
      <c r="F257" s="17"/>
      <c r="G257" s="19"/>
      <c r="H257" s="23"/>
      <c r="I257" s="4"/>
      <c r="J257" s="14"/>
    </row>
    <row r="258" spans="6:10" ht="12.75">
      <c r="F258" s="17"/>
      <c r="G258" s="19"/>
      <c r="H258" s="23"/>
      <c r="I258" s="4"/>
      <c r="J258" s="14"/>
    </row>
    <row r="259" spans="6:10" ht="12.75">
      <c r="F259" s="17"/>
      <c r="G259" s="19"/>
      <c r="H259" s="23"/>
      <c r="I259" s="4"/>
      <c r="J259" s="14"/>
    </row>
    <row r="260" spans="6:10" ht="12.75">
      <c r="F260" s="17"/>
      <c r="G260" s="19"/>
      <c r="H260" s="23"/>
      <c r="I260" s="4"/>
      <c r="J260" s="14"/>
    </row>
    <row r="261" spans="6:10" ht="12.75">
      <c r="F261" s="17"/>
      <c r="G261" s="19"/>
      <c r="H261" s="23"/>
      <c r="I261" s="4"/>
      <c r="J261" s="14"/>
    </row>
    <row r="262" spans="6:10" ht="12.75">
      <c r="F262" s="17"/>
      <c r="G262" s="19"/>
      <c r="H262" s="23"/>
      <c r="I262" s="4"/>
      <c r="J262" s="14"/>
    </row>
    <row r="263" spans="6:10" ht="12.75">
      <c r="F263" s="17"/>
      <c r="G263" s="19"/>
      <c r="H263" s="23"/>
      <c r="I263" s="4"/>
      <c r="J263" s="14"/>
    </row>
    <row r="264" spans="6:10" ht="12.75">
      <c r="F264" s="17"/>
      <c r="G264" s="19"/>
      <c r="H264" s="23"/>
      <c r="I264" s="4"/>
      <c r="J264" s="14"/>
    </row>
    <row r="265" spans="6:10" ht="12.75">
      <c r="F265" s="17"/>
      <c r="G265" s="19"/>
      <c r="H265" s="23"/>
      <c r="I265" s="4"/>
      <c r="J265" s="14"/>
    </row>
    <row r="266" spans="6:10" ht="12.75">
      <c r="F266" s="17"/>
      <c r="G266" s="19"/>
      <c r="H266" s="23"/>
      <c r="I266" s="4"/>
      <c r="J266" s="14"/>
    </row>
    <row r="267" spans="6:10" ht="12.75">
      <c r="F267" s="17"/>
      <c r="G267" s="19"/>
      <c r="H267" s="23"/>
      <c r="I267" s="4"/>
      <c r="J267" s="14"/>
    </row>
    <row r="268" spans="6:10" ht="12.75">
      <c r="F268" s="17"/>
      <c r="G268" s="19"/>
      <c r="H268" s="23"/>
      <c r="I268" s="4"/>
      <c r="J268" s="14"/>
    </row>
    <row r="269" spans="6:10" ht="12.75">
      <c r="F269" s="17"/>
      <c r="G269" s="19"/>
      <c r="H269" s="23"/>
      <c r="I269" s="4"/>
      <c r="J269" s="14"/>
    </row>
    <row r="270" spans="6:10" ht="12.75">
      <c r="F270" s="17"/>
      <c r="G270" s="19"/>
      <c r="H270" s="23"/>
      <c r="I270" s="4"/>
      <c r="J270" s="14"/>
    </row>
    <row r="271" spans="6:10" ht="12.75">
      <c r="F271" s="17"/>
      <c r="G271" s="19"/>
      <c r="H271" s="23"/>
      <c r="I271" s="4"/>
      <c r="J271" s="14"/>
    </row>
    <row r="272" spans="6:10" ht="12.75">
      <c r="F272" s="17"/>
      <c r="G272" s="19"/>
      <c r="H272" s="23"/>
      <c r="I272" s="4"/>
      <c r="J272" s="14"/>
    </row>
    <row r="273" spans="6:10" ht="12.75">
      <c r="F273" s="17"/>
      <c r="G273" s="19"/>
      <c r="H273" s="23"/>
      <c r="I273" s="4"/>
      <c r="J273" s="14"/>
    </row>
    <row r="274" spans="6:10" ht="12.75">
      <c r="F274" s="17"/>
      <c r="G274" s="19"/>
      <c r="H274" s="23"/>
      <c r="I274" s="4"/>
      <c r="J274" s="14"/>
    </row>
    <row r="275" spans="6:10" ht="12.75">
      <c r="F275" s="17"/>
      <c r="G275" s="19"/>
      <c r="H275" s="23"/>
      <c r="I275" s="4"/>
      <c r="J275" s="14"/>
    </row>
    <row r="276" spans="6:10" ht="12.75">
      <c r="F276" s="17"/>
      <c r="G276" s="19"/>
      <c r="H276" s="23"/>
      <c r="I276" s="4"/>
      <c r="J276" s="14"/>
    </row>
    <row r="277" spans="6:10" ht="12.75">
      <c r="F277" s="17"/>
      <c r="G277" s="19"/>
      <c r="H277" s="23"/>
      <c r="I277" s="4"/>
      <c r="J277" s="14"/>
    </row>
    <row r="278" spans="6:10" ht="12.75">
      <c r="F278" s="17"/>
      <c r="G278" s="19"/>
      <c r="H278" s="23"/>
      <c r="I278" s="4"/>
      <c r="J278" s="14"/>
    </row>
    <row r="279" spans="6:10" ht="12.75">
      <c r="F279" s="17"/>
      <c r="G279" s="19"/>
      <c r="H279" s="23"/>
      <c r="I279" s="4"/>
      <c r="J279" s="14"/>
    </row>
    <row r="280" spans="6:10" ht="12.75">
      <c r="F280" s="17"/>
      <c r="G280" s="19"/>
      <c r="H280" s="23"/>
      <c r="I280" s="4"/>
      <c r="J280" s="14"/>
    </row>
    <row r="281" spans="6:10" ht="12.75">
      <c r="F281" s="17"/>
      <c r="G281" s="19"/>
      <c r="H281" s="23"/>
      <c r="I281" s="4"/>
      <c r="J281" s="14"/>
    </row>
    <row r="282" spans="6:10" ht="12.75">
      <c r="F282" s="17"/>
      <c r="G282" s="19"/>
      <c r="H282" s="23"/>
      <c r="I282" s="4"/>
      <c r="J282" s="14"/>
    </row>
    <row r="283" spans="6:10" ht="12.75">
      <c r="F283" s="17"/>
      <c r="G283" s="19"/>
      <c r="H283" s="23"/>
      <c r="I283" s="4"/>
      <c r="J283" s="14"/>
    </row>
    <row r="284" spans="6:10" ht="12.75">
      <c r="F284" s="17"/>
      <c r="G284" s="19"/>
      <c r="H284" s="23"/>
      <c r="I284" s="4"/>
      <c r="J284" s="14"/>
    </row>
    <row r="285" spans="6:10" ht="12.75">
      <c r="F285" s="17"/>
      <c r="G285" s="19"/>
      <c r="H285" s="23"/>
      <c r="I285" s="4"/>
      <c r="J285" s="14"/>
    </row>
    <row r="286" spans="6:10" ht="12.75">
      <c r="F286" s="17"/>
      <c r="G286" s="19"/>
      <c r="H286" s="23"/>
      <c r="I286" s="4"/>
      <c r="J286" s="14"/>
    </row>
    <row r="287" spans="6:10" ht="12.75">
      <c r="F287" s="17"/>
      <c r="G287" s="19"/>
      <c r="H287" s="23"/>
      <c r="I287" s="4"/>
      <c r="J287" s="14"/>
    </row>
    <row r="288" spans="6:10" ht="12.75">
      <c r="F288" s="17"/>
      <c r="G288" s="19"/>
      <c r="H288" s="23"/>
      <c r="I288" s="4"/>
      <c r="J288" s="14"/>
    </row>
    <row r="289" spans="6:10" ht="12.75">
      <c r="F289" s="17"/>
      <c r="G289" s="19"/>
      <c r="H289" s="23"/>
      <c r="I289" s="4"/>
      <c r="J289" s="14"/>
    </row>
    <row r="290" spans="6:10" ht="12.75">
      <c r="F290" s="17"/>
      <c r="G290" s="19"/>
      <c r="H290" s="23"/>
      <c r="I290" s="4"/>
      <c r="J290" s="14"/>
    </row>
    <row r="291" spans="6:10" ht="12.75">
      <c r="F291" s="17"/>
      <c r="G291" s="19"/>
      <c r="H291" s="23"/>
      <c r="I291" s="4"/>
      <c r="J291" s="14"/>
    </row>
    <row r="292" spans="6:10" ht="12.75">
      <c r="F292" s="17"/>
      <c r="G292" s="19"/>
      <c r="H292" s="23"/>
      <c r="I292" s="4"/>
      <c r="J292" s="14"/>
    </row>
    <row r="293" spans="6:10" ht="12.75">
      <c r="F293" s="17"/>
      <c r="G293" s="19"/>
      <c r="H293" s="23"/>
      <c r="I293" s="4"/>
      <c r="J293" s="14"/>
    </row>
    <row r="294" spans="6:10" ht="12.75">
      <c r="F294" s="17"/>
      <c r="G294" s="19"/>
      <c r="H294" s="23"/>
      <c r="I294" s="4"/>
      <c r="J294" s="14"/>
    </row>
    <row r="295" spans="6:10" ht="12.75">
      <c r="F295" s="17"/>
      <c r="G295" s="19"/>
      <c r="H295" s="23"/>
      <c r="I295" s="4"/>
      <c r="J295" s="14"/>
    </row>
    <row r="296" spans="6:10" ht="12.75">
      <c r="F296" s="17"/>
      <c r="G296" s="19"/>
      <c r="H296" s="23"/>
      <c r="I296" s="4"/>
      <c r="J296" s="14"/>
    </row>
    <row r="297" spans="6:10" ht="12.75">
      <c r="F297" s="17"/>
      <c r="G297" s="19"/>
      <c r="H297" s="23"/>
      <c r="I297" s="4"/>
      <c r="J297" s="14"/>
    </row>
    <row r="298" spans="6:10" ht="12.75">
      <c r="F298" s="17"/>
      <c r="G298" s="19"/>
      <c r="H298" s="23"/>
      <c r="I298" s="4"/>
      <c r="J298" s="14"/>
    </row>
    <row r="299" spans="6:10" ht="12.75">
      <c r="F299" s="17"/>
      <c r="G299" s="19"/>
      <c r="H299" s="23"/>
      <c r="I299" s="4"/>
      <c r="J299" s="14"/>
    </row>
    <row r="300" spans="6:10" ht="12.75">
      <c r="F300" s="17"/>
      <c r="G300" s="19"/>
      <c r="H300" s="23"/>
      <c r="I300" s="4"/>
      <c r="J300" s="14"/>
    </row>
    <row r="301" spans="6:10" ht="12.75">
      <c r="F301" s="17"/>
      <c r="G301" s="19"/>
      <c r="H301" s="23"/>
      <c r="I301" s="4"/>
      <c r="J301" s="14"/>
    </row>
    <row r="302" spans="6:10" ht="12.75">
      <c r="F302" s="17"/>
      <c r="G302" s="19"/>
      <c r="H302" s="23"/>
      <c r="I302" s="4"/>
      <c r="J302" s="14"/>
    </row>
    <row r="303" spans="6:10" ht="12.75">
      <c r="F303" s="17"/>
      <c r="G303" s="19"/>
      <c r="H303" s="23"/>
      <c r="I303" s="4"/>
      <c r="J303" s="14"/>
    </row>
    <row r="304" spans="6:10" ht="12.75">
      <c r="F304" s="17"/>
      <c r="G304" s="19"/>
      <c r="H304" s="23"/>
      <c r="I304" s="4"/>
      <c r="J304" s="14"/>
    </row>
    <row r="305" spans="6:10" ht="12.75">
      <c r="F305" s="17"/>
      <c r="G305" s="19"/>
      <c r="H305" s="23"/>
      <c r="I305" s="4"/>
      <c r="J305" s="14"/>
    </row>
    <row r="306" spans="6:10" ht="12.75">
      <c r="F306" s="17"/>
      <c r="G306" s="19"/>
      <c r="H306" s="23"/>
      <c r="I306" s="4"/>
      <c r="J306" s="14"/>
    </row>
    <row r="307" spans="6:10" ht="12.75">
      <c r="F307" s="17"/>
      <c r="G307" s="19"/>
      <c r="H307" s="23"/>
      <c r="I307" s="4"/>
      <c r="J307" s="14"/>
    </row>
    <row r="308" spans="6:10" ht="12.75">
      <c r="F308" s="17"/>
      <c r="G308" s="19"/>
      <c r="H308" s="23"/>
      <c r="I308" s="4"/>
      <c r="J308" s="14"/>
    </row>
    <row r="309" spans="6:10" ht="12.75">
      <c r="F309" s="17"/>
      <c r="G309" s="19"/>
      <c r="H309" s="23"/>
      <c r="I309" s="4"/>
      <c r="J309" s="14"/>
    </row>
    <row r="310" spans="6:10" ht="12.75">
      <c r="F310" s="17"/>
      <c r="G310" s="19"/>
      <c r="H310" s="23"/>
      <c r="I310" s="4"/>
      <c r="J310" s="14"/>
    </row>
    <row r="311" spans="6:10" ht="12.75">
      <c r="F311" s="17"/>
      <c r="G311" s="19"/>
      <c r="H311" s="23"/>
      <c r="I311" s="4"/>
      <c r="J311" s="14"/>
    </row>
    <row r="312" spans="6:10" ht="12.75">
      <c r="F312" s="17"/>
      <c r="G312" s="19"/>
      <c r="H312" s="23"/>
      <c r="I312" s="4"/>
      <c r="J312" s="14"/>
    </row>
    <row r="313" spans="6:10" ht="12.75">
      <c r="F313" s="17"/>
      <c r="G313" s="19"/>
      <c r="H313" s="23"/>
      <c r="I313" s="4"/>
      <c r="J313" s="14"/>
    </row>
    <row r="314" spans="6:10" ht="12.75">
      <c r="F314" s="17"/>
      <c r="G314" s="19"/>
      <c r="H314" s="23"/>
      <c r="I314" s="4"/>
      <c r="J314" s="14"/>
    </row>
    <row r="315" spans="6:10" ht="12.75">
      <c r="F315" s="17"/>
      <c r="G315" s="19"/>
      <c r="H315" s="23"/>
      <c r="I315" s="4"/>
      <c r="J315" s="14"/>
    </row>
    <row r="316" spans="6:10" ht="12.75">
      <c r="F316" s="17"/>
      <c r="G316" s="19"/>
      <c r="H316" s="23"/>
      <c r="I316" s="4"/>
      <c r="J316" s="14"/>
    </row>
    <row r="317" spans="6:10" ht="12.75">
      <c r="F317" s="17"/>
      <c r="G317" s="19"/>
      <c r="H317" s="23"/>
      <c r="I317" s="4"/>
      <c r="J317" s="14"/>
    </row>
    <row r="318" spans="6:10" ht="12.75">
      <c r="F318" s="17"/>
      <c r="G318" s="19"/>
      <c r="H318" s="23"/>
      <c r="I318" s="4"/>
      <c r="J318" s="14"/>
    </row>
    <row r="319" spans="6:10" ht="12.75">
      <c r="F319" s="17"/>
      <c r="G319" s="19"/>
      <c r="H319" s="23"/>
      <c r="I319" s="4"/>
      <c r="J319" s="14"/>
    </row>
    <row r="320" spans="6:10" ht="12.75">
      <c r="F320" s="17"/>
      <c r="G320" s="19"/>
      <c r="H320" s="23"/>
      <c r="I320" s="4"/>
      <c r="J320" s="14"/>
    </row>
    <row r="321" spans="6:10" ht="12.75">
      <c r="F321" s="17"/>
      <c r="G321" s="19"/>
      <c r="H321" s="23"/>
      <c r="I321" s="4"/>
      <c r="J321" s="14"/>
    </row>
    <row r="322" spans="6:10" ht="12.75">
      <c r="F322" s="17"/>
      <c r="G322" s="19"/>
      <c r="H322" s="23"/>
      <c r="I322" s="4"/>
      <c r="J322" s="14"/>
    </row>
    <row r="323" spans="6:10" ht="12.75">
      <c r="F323" s="17"/>
      <c r="G323" s="19"/>
      <c r="H323" s="23"/>
      <c r="I323" s="4"/>
      <c r="J323" s="14"/>
    </row>
    <row r="324" spans="6:10" ht="12.75">
      <c r="F324" s="17"/>
      <c r="G324" s="19"/>
      <c r="H324" s="23"/>
      <c r="I324" s="4"/>
      <c r="J324" s="14"/>
    </row>
    <row r="325" spans="6:10" ht="12.75">
      <c r="F325" s="17"/>
      <c r="G325" s="19"/>
      <c r="H325" s="23"/>
      <c r="I325" s="4"/>
      <c r="J325" s="14"/>
    </row>
    <row r="326" spans="6:10" ht="12.75">
      <c r="F326" s="17"/>
      <c r="G326" s="19"/>
      <c r="H326" s="23"/>
      <c r="I326" s="4"/>
      <c r="J326" s="14"/>
    </row>
    <row r="327" spans="6:10" ht="12.75">
      <c r="F327" s="17"/>
      <c r="G327" s="19"/>
      <c r="H327" s="23"/>
      <c r="I327" s="4"/>
      <c r="J327" s="14"/>
    </row>
    <row r="328" spans="6:10" ht="12.75">
      <c r="F328" s="17"/>
      <c r="G328" s="19"/>
      <c r="H328" s="23"/>
      <c r="I328" s="4"/>
      <c r="J328" s="14"/>
    </row>
    <row r="329" spans="6:10" ht="12.75">
      <c r="F329" s="17"/>
      <c r="G329" s="19"/>
      <c r="H329" s="23"/>
      <c r="I329" s="4"/>
      <c r="J329" s="14"/>
    </row>
    <row r="330" spans="6:10" ht="12.75">
      <c r="F330" s="17"/>
      <c r="G330" s="19"/>
      <c r="H330" s="23"/>
      <c r="I330" s="4"/>
      <c r="J330" s="14"/>
    </row>
    <row r="331" spans="6:10" ht="12.75">
      <c r="F331" s="17"/>
      <c r="G331" s="19"/>
      <c r="H331" s="23"/>
      <c r="I331" s="4"/>
      <c r="J331" s="14"/>
    </row>
    <row r="332" spans="6:10" ht="12.75">
      <c r="F332" s="17"/>
      <c r="G332" s="19"/>
      <c r="H332" s="23"/>
      <c r="I332" s="4"/>
      <c r="J332" s="14"/>
    </row>
    <row r="333" spans="6:10" ht="12.75">
      <c r="F333" s="17"/>
      <c r="G333" s="19"/>
      <c r="H333" s="23"/>
      <c r="I333" s="4"/>
      <c r="J333" s="14"/>
    </row>
    <row r="334" spans="6:10" ht="12.75">
      <c r="F334" s="17"/>
      <c r="G334" s="19"/>
      <c r="H334" s="23"/>
      <c r="I334" s="4"/>
      <c r="J334" s="14"/>
    </row>
    <row r="335" spans="6:10" ht="12.75">
      <c r="F335" s="17"/>
      <c r="G335" s="19"/>
      <c r="H335" s="23"/>
      <c r="I335" s="4"/>
      <c r="J335" s="14"/>
    </row>
    <row r="336" spans="6:10" ht="12.75">
      <c r="F336" s="17"/>
      <c r="G336" s="19"/>
      <c r="H336" s="23"/>
      <c r="I336" s="4"/>
      <c r="J336" s="14"/>
    </row>
    <row r="337" spans="6:10" ht="12.75">
      <c r="F337" s="17"/>
      <c r="G337" s="19"/>
      <c r="H337" s="23"/>
      <c r="I337" s="4"/>
      <c r="J337" s="14"/>
    </row>
    <row r="338" spans="6:10" ht="12.75">
      <c r="F338" s="17"/>
      <c r="G338" s="19"/>
      <c r="H338" s="23"/>
      <c r="I338" s="4"/>
      <c r="J338" s="14"/>
    </row>
    <row r="339" spans="6:10" ht="12.75">
      <c r="F339" s="17"/>
      <c r="G339" s="19"/>
      <c r="H339" s="23"/>
      <c r="I339" s="4"/>
      <c r="J339" s="14"/>
    </row>
    <row r="340" spans="6:10" ht="12.75">
      <c r="F340" s="17"/>
      <c r="G340" s="19"/>
      <c r="H340" s="23"/>
      <c r="I340" s="4"/>
      <c r="J340" s="14"/>
    </row>
    <row r="341" spans="6:10" ht="12.75">
      <c r="F341" s="17"/>
      <c r="G341" s="19"/>
      <c r="H341" s="23"/>
      <c r="I341" s="4"/>
      <c r="J341" s="14"/>
    </row>
    <row r="342" spans="6:10" ht="12.75">
      <c r="F342" s="17"/>
      <c r="G342" s="19"/>
      <c r="H342" s="23"/>
      <c r="I342" s="4"/>
      <c r="J342" s="14"/>
    </row>
    <row r="343" spans="6:10" ht="12.75">
      <c r="F343" s="17"/>
      <c r="G343" s="19"/>
      <c r="H343" s="23"/>
      <c r="I343" s="4"/>
      <c r="J343" s="14"/>
    </row>
    <row r="344" spans="6:10" ht="12.75">
      <c r="F344" s="17"/>
      <c r="G344" s="19"/>
      <c r="H344" s="23"/>
      <c r="I344" s="4"/>
      <c r="J344" s="14"/>
    </row>
    <row r="345" spans="6:10" ht="12.75">
      <c r="F345" s="17"/>
      <c r="G345" s="19"/>
      <c r="H345" s="23"/>
      <c r="I345" s="4"/>
      <c r="J345" s="14"/>
    </row>
    <row r="346" spans="6:10" ht="12.75">
      <c r="F346" s="17"/>
      <c r="G346" s="19"/>
      <c r="H346" s="23"/>
      <c r="I346" s="4"/>
      <c r="J346" s="14"/>
    </row>
    <row r="347" spans="6:10" ht="12.75">
      <c r="F347" s="17"/>
      <c r="G347" s="19"/>
      <c r="H347" s="23"/>
      <c r="I347" s="4"/>
      <c r="J347" s="14"/>
    </row>
    <row r="348" spans="6:10" ht="12.75">
      <c r="F348" s="17"/>
      <c r="G348" s="19"/>
      <c r="H348" s="23"/>
      <c r="I348" s="4"/>
      <c r="J348" s="14"/>
    </row>
    <row r="349" spans="6:10" ht="12.75">
      <c r="F349" s="17"/>
      <c r="G349" s="19"/>
      <c r="H349" s="23"/>
      <c r="I349" s="4"/>
      <c r="J349" s="14"/>
    </row>
    <row r="350" spans="6:10" ht="12.75">
      <c r="F350" s="17"/>
      <c r="G350" s="19"/>
      <c r="H350" s="23"/>
      <c r="I350" s="4"/>
      <c r="J350" s="14"/>
    </row>
    <row r="351" spans="6:10" ht="12.75">
      <c r="F351" s="17"/>
      <c r="G351" s="19"/>
      <c r="H351" s="23"/>
      <c r="I351" s="4"/>
      <c r="J351" s="14"/>
    </row>
    <row r="352" spans="6:10" ht="12.75">
      <c r="F352" s="17"/>
      <c r="G352" s="19"/>
      <c r="H352" s="23"/>
      <c r="I352" s="4"/>
      <c r="J352" s="14"/>
    </row>
    <row r="353" spans="6:10" ht="12.75">
      <c r="F353" s="17"/>
      <c r="G353" s="19"/>
      <c r="H353" s="23"/>
      <c r="I353" s="4"/>
      <c r="J353" s="14"/>
    </row>
    <row r="354" spans="6:10" ht="12.75">
      <c r="F354" s="17"/>
      <c r="G354" s="19"/>
      <c r="H354" s="23"/>
      <c r="I354" s="4"/>
      <c r="J354" s="14"/>
    </row>
    <row r="355" spans="6:10" ht="12.75">
      <c r="F355" s="17"/>
      <c r="G355" s="19"/>
      <c r="H355" s="23"/>
      <c r="I355" s="4"/>
      <c r="J355" s="14"/>
    </row>
    <row r="356" spans="6:10" ht="12.75">
      <c r="F356" s="17"/>
      <c r="G356" s="19"/>
      <c r="H356" s="23"/>
      <c r="I356" s="4"/>
      <c r="J356" s="14"/>
    </row>
    <row r="357" spans="6:10" ht="12.75">
      <c r="F357" s="17"/>
      <c r="G357" s="19"/>
      <c r="H357" s="23"/>
      <c r="I357" s="4"/>
      <c r="J357" s="14"/>
    </row>
    <row r="358" spans="6:10" ht="12.75">
      <c r="F358" s="17"/>
      <c r="G358" s="19"/>
      <c r="H358" s="23"/>
      <c r="I358" s="4"/>
      <c r="J358" s="14"/>
    </row>
    <row r="359" spans="6:10" ht="12.75">
      <c r="F359" s="17"/>
      <c r="G359" s="19"/>
      <c r="H359" s="23"/>
      <c r="I359" s="4"/>
      <c r="J359" s="14"/>
    </row>
    <row r="360" spans="6:10" ht="12.75">
      <c r="F360" s="17"/>
      <c r="G360" s="19"/>
      <c r="H360" s="23"/>
      <c r="I360" s="4"/>
      <c r="J360" s="14"/>
    </row>
    <row r="361" spans="6:10" ht="12.75">
      <c r="F361" s="17"/>
      <c r="G361" s="19"/>
      <c r="H361" s="23"/>
      <c r="I361" s="4"/>
      <c r="J361" s="14"/>
    </row>
    <row r="362" spans="6:10" ht="12.75">
      <c r="F362" s="17"/>
      <c r="G362" s="19"/>
      <c r="H362" s="23"/>
      <c r="I362" s="4"/>
      <c r="J362" s="14"/>
    </row>
    <row r="363" spans="6:10" ht="12.75">
      <c r="F363" s="17"/>
      <c r="G363" s="19"/>
      <c r="H363" s="23"/>
      <c r="I363" s="4"/>
      <c r="J363" s="14"/>
    </row>
    <row r="364" spans="6:10" ht="12.75">
      <c r="F364" s="17"/>
      <c r="G364" s="19"/>
      <c r="H364" s="23"/>
      <c r="I364" s="4"/>
      <c r="J364" s="14"/>
    </row>
    <row r="365" spans="6:10" ht="12.75">
      <c r="F365" s="17"/>
      <c r="G365" s="19"/>
      <c r="H365" s="23"/>
      <c r="I365" s="4"/>
      <c r="J365" s="14"/>
    </row>
    <row r="366" spans="6:10" ht="12.75">
      <c r="F366" s="17"/>
      <c r="G366" s="19"/>
      <c r="H366" s="23"/>
      <c r="I366" s="4"/>
      <c r="J366" s="14"/>
    </row>
    <row r="367" spans="6:10" ht="12.75">
      <c r="F367" s="17"/>
      <c r="G367" s="19"/>
      <c r="H367" s="23"/>
      <c r="I367" s="4"/>
      <c r="J367" s="14"/>
    </row>
    <row r="368" spans="6:10" ht="12.75">
      <c r="F368" s="17"/>
      <c r="G368" s="19"/>
      <c r="H368" s="23"/>
      <c r="I368" s="4"/>
      <c r="J368" s="14"/>
    </row>
    <row r="369" spans="6:10" ht="12.75">
      <c r="F369" s="17"/>
      <c r="G369" s="19"/>
      <c r="H369" s="23"/>
      <c r="I369" s="4"/>
      <c r="J369" s="14"/>
    </row>
    <row r="370" spans="6:10" ht="12.75">
      <c r="F370" s="17"/>
      <c r="G370" s="19"/>
      <c r="H370" s="23"/>
      <c r="I370" s="4"/>
      <c r="J370" s="14"/>
    </row>
    <row r="371" spans="6:10" ht="12.75">
      <c r="F371" s="17"/>
      <c r="G371" s="19"/>
      <c r="H371" s="23"/>
      <c r="I371" s="4"/>
      <c r="J371" s="14"/>
    </row>
    <row r="372" spans="6:10" ht="12.75">
      <c r="F372" s="17"/>
      <c r="G372" s="19"/>
      <c r="H372" s="23"/>
      <c r="I372" s="4"/>
      <c r="J372" s="14"/>
    </row>
    <row r="373" spans="6:10" ht="12.75">
      <c r="F373" s="17"/>
      <c r="G373" s="19"/>
      <c r="H373" s="23"/>
      <c r="I373" s="4"/>
      <c r="J373" s="14"/>
    </row>
    <row r="374" spans="6:10" ht="12.75">
      <c r="F374" s="17"/>
      <c r="G374" s="19"/>
      <c r="H374" s="23"/>
      <c r="I374" s="4"/>
      <c r="J374" s="14"/>
    </row>
    <row r="375" spans="6:10" ht="12.75">
      <c r="F375" s="17"/>
      <c r="G375" s="19"/>
      <c r="H375" s="23"/>
      <c r="I375" s="4"/>
      <c r="J375" s="14"/>
    </row>
    <row r="376" spans="6:10" ht="12.75">
      <c r="F376" s="17"/>
      <c r="G376" s="19"/>
      <c r="H376" s="23"/>
      <c r="I376" s="4"/>
      <c r="J376" s="14"/>
    </row>
    <row r="377" spans="6:10" ht="12.75">
      <c r="F377" s="17"/>
      <c r="G377" s="19"/>
      <c r="H377" s="23"/>
      <c r="I377" s="4"/>
      <c r="J377" s="14"/>
    </row>
    <row r="378" spans="6:10" ht="12.75">
      <c r="F378" s="17"/>
      <c r="G378" s="19"/>
      <c r="H378" s="23"/>
      <c r="I378" s="4"/>
      <c r="J378" s="14"/>
    </row>
    <row r="379" spans="6:10" ht="12.75">
      <c r="F379" s="17"/>
      <c r="G379" s="19"/>
      <c r="H379" s="23"/>
      <c r="I379" s="4"/>
      <c r="J379" s="14"/>
    </row>
    <row r="380" spans="6:10" ht="12.75">
      <c r="F380" s="17"/>
      <c r="G380" s="19"/>
      <c r="H380" s="23"/>
      <c r="I380" s="4"/>
      <c r="J380" s="14"/>
    </row>
    <row r="381" spans="6:10" ht="12.75">
      <c r="F381" s="17"/>
      <c r="G381" s="19"/>
      <c r="H381" s="23"/>
      <c r="I381" s="4"/>
      <c r="J381" s="14"/>
    </row>
    <row r="382" spans="6:10" ht="12.75">
      <c r="F382" s="17"/>
      <c r="G382" s="19"/>
      <c r="H382" s="23"/>
      <c r="I382" s="4"/>
      <c r="J382" s="14"/>
    </row>
    <row r="383" spans="6:10" ht="12.75">
      <c r="F383" s="17"/>
      <c r="G383" s="19"/>
      <c r="H383" s="23"/>
      <c r="I383" s="4"/>
      <c r="J383" s="14"/>
    </row>
    <row r="384" spans="6:10" ht="12.75">
      <c r="F384" s="17"/>
      <c r="G384" s="19"/>
      <c r="H384" s="23"/>
      <c r="I384" s="4"/>
      <c r="J384" s="14"/>
    </row>
    <row r="385" spans="6:10" ht="12.75">
      <c r="F385" s="17"/>
      <c r="G385" s="19"/>
      <c r="H385" s="23"/>
      <c r="I385" s="4"/>
      <c r="J385" s="14"/>
    </row>
    <row r="386" spans="6:10" ht="12.75">
      <c r="F386" s="17"/>
      <c r="G386" s="19"/>
      <c r="H386" s="23"/>
      <c r="I386" s="4"/>
      <c r="J386" s="14"/>
    </row>
    <row r="387" spans="6:10" ht="12.75">
      <c r="F387" s="17"/>
      <c r="G387" s="19"/>
      <c r="H387" s="23"/>
      <c r="I387" s="4"/>
      <c r="J387" s="14"/>
    </row>
    <row r="388" spans="6:10" ht="12.75">
      <c r="F388" s="17"/>
      <c r="G388" s="19"/>
      <c r="H388" s="23"/>
      <c r="I388" s="4"/>
      <c r="J388" s="14"/>
    </row>
    <row r="389" spans="6:10" ht="12.75">
      <c r="F389" s="17"/>
      <c r="G389" s="19"/>
      <c r="H389" s="23"/>
      <c r="I389" s="4"/>
      <c r="J389" s="14"/>
    </row>
    <row r="390" spans="6:10" ht="12.75">
      <c r="F390" s="17"/>
      <c r="G390" s="19"/>
      <c r="H390" s="23"/>
      <c r="I390" s="4"/>
      <c r="J390" s="14"/>
    </row>
    <row r="391" spans="6:10" ht="12.75">
      <c r="F391" s="17"/>
      <c r="G391" s="19"/>
      <c r="H391" s="23"/>
      <c r="I391" s="4"/>
      <c r="J391" s="14"/>
    </row>
    <row r="392" spans="6:10" ht="12.75">
      <c r="F392" s="17"/>
      <c r="G392" s="19"/>
      <c r="H392" s="23"/>
      <c r="I392" s="4"/>
      <c r="J392" s="14"/>
    </row>
    <row r="393" spans="6:10" ht="12.75">
      <c r="F393" s="17"/>
      <c r="G393" s="19"/>
      <c r="H393" s="23"/>
      <c r="I393" s="4"/>
      <c r="J393" s="14"/>
    </row>
    <row r="394" spans="6:10" ht="12.75">
      <c r="F394" s="17"/>
      <c r="G394" s="19"/>
      <c r="H394" s="23"/>
      <c r="I394" s="4"/>
      <c r="J394" s="14"/>
    </row>
    <row r="395" spans="6:10" ht="12.75">
      <c r="F395" s="17"/>
      <c r="G395" s="19"/>
      <c r="H395" s="23"/>
      <c r="I395" s="4"/>
      <c r="J395" s="14"/>
    </row>
    <row r="396" spans="6:10" ht="12.75">
      <c r="F396" s="17"/>
      <c r="G396" s="19"/>
      <c r="H396" s="23"/>
      <c r="I396" s="4"/>
      <c r="J396" s="14"/>
    </row>
    <row r="397" spans="6:10" ht="12.75">
      <c r="F397" s="17"/>
      <c r="G397" s="19"/>
      <c r="H397" s="23"/>
      <c r="I397" s="4"/>
      <c r="J397" s="14"/>
    </row>
    <row r="398" spans="6:10" ht="12.75">
      <c r="F398" s="17"/>
      <c r="G398" s="19"/>
      <c r="H398" s="23"/>
      <c r="I398" s="4"/>
      <c r="J398" s="14"/>
    </row>
    <row r="399" spans="6:10" ht="12.75">
      <c r="F399" s="17"/>
      <c r="G399" s="19"/>
      <c r="H399" s="23"/>
      <c r="I399" s="4"/>
      <c r="J399" s="14"/>
    </row>
    <row r="400" spans="6:10" ht="12.75">
      <c r="F400" s="17"/>
      <c r="G400" s="19"/>
      <c r="H400" s="23"/>
      <c r="I400" s="4"/>
      <c r="J400" s="14"/>
    </row>
    <row r="401" spans="6:10" ht="12.75">
      <c r="F401" s="17"/>
      <c r="G401" s="19"/>
      <c r="H401" s="23"/>
      <c r="I401" s="4"/>
      <c r="J401" s="14"/>
    </row>
    <row r="402" spans="6:10" ht="12.75">
      <c r="F402" s="17"/>
      <c r="G402" s="19"/>
      <c r="H402" s="23"/>
      <c r="I402" s="4"/>
      <c r="J402" s="14"/>
    </row>
    <row r="403" spans="6:10" ht="12.75">
      <c r="F403" s="17"/>
      <c r="G403" s="19"/>
      <c r="H403" s="23"/>
      <c r="I403" s="4"/>
      <c r="J403" s="14"/>
    </row>
    <row r="404" spans="6:10" ht="12.75">
      <c r="F404" s="17"/>
      <c r="G404" s="19"/>
      <c r="H404" s="23"/>
      <c r="I404" s="4"/>
      <c r="J404" s="14"/>
    </row>
    <row r="405" spans="6:10" ht="12.75">
      <c r="F405" s="17"/>
      <c r="G405" s="19"/>
      <c r="H405" s="23"/>
      <c r="I405" s="4"/>
      <c r="J405" s="14"/>
    </row>
    <row r="406" spans="6:10" ht="12.75">
      <c r="F406" s="17"/>
      <c r="G406" s="19"/>
      <c r="H406" s="23"/>
      <c r="I406" s="4"/>
      <c r="J406" s="14"/>
    </row>
    <row r="407" spans="6:10" ht="12.75">
      <c r="F407" s="17"/>
      <c r="G407" s="19"/>
      <c r="H407" s="23"/>
      <c r="I407" s="4"/>
      <c r="J407" s="14"/>
    </row>
    <row r="408" spans="6:10" ht="12.75">
      <c r="F408" s="17"/>
      <c r="G408" s="19"/>
      <c r="H408" s="23"/>
      <c r="I408" s="4"/>
      <c r="J408" s="14"/>
    </row>
    <row r="409" spans="6:10" ht="12.75">
      <c r="F409" s="17"/>
      <c r="G409" s="19"/>
      <c r="H409" s="23"/>
      <c r="I409" s="4"/>
      <c r="J409" s="14"/>
    </row>
    <row r="410" spans="6:10" ht="12.75">
      <c r="F410" s="17"/>
      <c r="G410" s="19"/>
      <c r="H410" s="23"/>
      <c r="I410" s="4"/>
      <c r="J410" s="14"/>
    </row>
    <row r="411" spans="6:10" ht="12.75">
      <c r="F411" s="17"/>
      <c r="G411" s="19"/>
      <c r="H411" s="23"/>
      <c r="I411" s="4"/>
      <c r="J411" s="14"/>
    </row>
    <row r="412" spans="6:10" ht="12.75">
      <c r="F412" s="17"/>
      <c r="G412" s="19"/>
      <c r="H412" s="23"/>
      <c r="I412" s="4"/>
      <c r="J412" s="14"/>
    </row>
    <row r="413" spans="6:10" ht="12.75">
      <c r="F413" s="17"/>
      <c r="G413" s="19"/>
      <c r="H413" s="23"/>
      <c r="I413" s="4"/>
      <c r="J413" s="14"/>
    </row>
    <row r="414" spans="6:10" ht="12.75">
      <c r="F414" s="17"/>
      <c r="G414" s="19"/>
      <c r="H414" s="23"/>
      <c r="I414" s="4"/>
      <c r="J414" s="14"/>
    </row>
    <row r="415" spans="6:10" ht="12.75">
      <c r="F415" s="17"/>
      <c r="G415" s="19"/>
      <c r="H415" s="23"/>
      <c r="I415" s="4"/>
      <c r="J415" s="14"/>
    </row>
    <row r="416" spans="6:10" ht="12.75">
      <c r="F416" s="17"/>
      <c r="G416" s="19"/>
      <c r="H416" s="23"/>
      <c r="I416" s="4"/>
      <c r="J416" s="14"/>
    </row>
    <row r="417" spans="6:10" ht="12.75">
      <c r="F417" s="17"/>
      <c r="G417" s="19"/>
      <c r="H417" s="23"/>
      <c r="I417" s="4"/>
      <c r="J417" s="14"/>
    </row>
    <row r="418" spans="6:10" ht="12.75">
      <c r="F418" s="17"/>
      <c r="G418" s="19"/>
      <c r="H418" s="23"/>
      <c r="I418" s="4"/>
      <c r="J418" s="14"/>
    </row>
    <row r="419" spans="6:10" ht="12.75">
      <c r="F419" s="17"/>
      <c r="G419" s="19"/>
      <c r="H419" s="23"/>
      <c r="I419" s="4"/>
      <c r="J419" s="14"/>
    </row>
    <row r="420" spans="6:10" ht="12.75">
      <c r="F420" s="17"/>
      <c r="G420" s="19"/>
      <c r="H420" s="23"/>
      <c r="I420" s="4"/>
      <c r="J420" s="14"/>
    </row>
    <row r="421" spans="6:10" ht="12.75">
      <c r="F421" s="17"/>
      <c r="G421" s="19"/>
      <c r="H421" s="23"/>
      <c r="I421" s="4"/>
      <c r="J421" s="14"/>
    </row>
    <row r="422" spans="6:10" ht="12.75">
      <c r="F422" s="17"/>
      <c r="G422" s="19"/>
      <c r="H422" s="23"/>
      <c r="I422" s="4"/>
      <c r="J422" s="14"/>
    </row>
    <row r="423" spans="6:10" ht="12.75">
      <c r="F423" s="17"/>
      <c r="G423" s="19"/>
      <c r="H423" s="23"/>
      <c r="I423" s="4"/>
      <c r="J423" s="14"/>
    </row>
    <row r="424" spans="6:10" ht="12.75">
      <c r="F424" s="17"/>
      <c r="G424" s="19"/>
      <c r="H424" s="23"/>
      <c r="I424" s="4"/>
      <c r="J424" s="14"/>
    </row>
    <row r="425" spans="6:10" ht="12.75">
      <c r="F425" s="17"/>
      <c r="G425" s="19"/>
      <c r="H425" s="23"/>
      <c r="I425" s="4"/>
      <c r="J425" s="14"/>
    </row>
    <row r="426" spans="6:10" ht="12.75">
      <c r="F426" s="17"/>
      <c r="G426" s="19"/>
      <c r="H426" s="23"/>
      <c r="I426" s="4"/>
      <c r="J426" s="14"/>
    </row>
    <row r="427" spans="6:10" ht="12.75">
      <c r="F427" s="17"/>
      <c r="G427" s="19"/>
      <c r="H427" s="23"/>
      <c r="I427" s="4"/>
      <c r="J427" s="14"/>
    </row>
    <row r="428" spans="6:10" ht="12.75">
      <c r="F428" s="17"/>
      <c r="G428" s="19"/>
      <c r="H428" s="23"/>
      <c r="I428" s="4"/>
      <c r="J428" s="14"/>
    </row>
    <row r="429" spans="6:10" ht="12.75">
      <c r="F429" s="17"/>
      <c r="G429" s="19"/>
      <c r="H429" s="23"/>
      <c r="I429" s="4"/>
      <c r="J429" s="14"/>
    </row>
    <row r="430" spans="6:10" ht="12.75">
      <c r="F430" s="17"/>
      <c r="G430" s="19"/>
      <c r="H430" s="23"/>
      <c r="I430" s="4"/>
      <c r="J430" s="14"/>
    </row>
    <row r="431" spans="6:10" ht="12.75">
      <c r="F431" s="17"/>
      <c r="G431" s="19"/>
      <c r="H431" s="23"/>
      <c r="I431" s="4"/>
      <c r="J431" s="14"/>
    </row>
    <row r="432" spans="6:10" ht="12.75">
      <c r="F432" s="17"/>
      <c r="G432" s="19"/>
      <c r="H432" s="23"/>
      <c r="I432" s="4"/>
      <c r="J432" s="14"/>
    </row>
    <row r="433" spans="6:10" ht="12.75">
      <c r="F433" s="17"/>
      <c r="G433" s="19"/>
      <c r="H433" s="23"/>
      <c r="I433" s="4"/>
      <c r="J433" s="14"/>
    </row>
    <row r="434" spans="6:10" ht="12.75">
      <c r="F434" s="17"/>
      <c r="G434" s="19"/>
      <c r="H434" s="23"/>
      <c r="I434" s="4"/>
      <c r="J434" s="14"/>
    </row>
    <row r="435" spans="6:10" ht="12.75">
      <c r="F435" s="17"/>
      <c r="G435" s="19"/>
      <c r="H435" s="23"/>
      <c r="I435" s="4"/>
      <c r="J435" s="14"/>
    </row>
    <row r="436" spans="6:10" ht="12.75">
      <c r="F436" s="17"/>
      <c r="G436" s="19"/>
      <c r="H436" s="23"/>
      <c r="I436" s="4"/>
      <c r="J436" s="14"/>
    </row>
    <row r="437" spans="6:10" ht="12.75">
      <c r="F437" s="17"/>
      <c r="G437" s="19"/>
      <c r="H437" s="23"/>
      <c r="I437" s="4"/>
      <c r="J437" s="14"/>
    </row>
    <row r="438" spans="6:10" ht="12.75">
      <c r="F438" s="17"/>
      <c r="G438" s="19"/>
      <c r="H438" s="23"/>
      <c r="I438" s="4"/>
      <c r="J438" s="14"/>
    </row>
    <row r="439" spans="6:10" ht="12.75">
      <c r="F439" s="17"/>
      <c r="G439" s="19"/>
      <c r="H439" s="23"/>
      <c r="I439" s="4"/>
      <c r="J439" s="14"/>
    </row>
    <row r="440" spans="6:10" ht="12.75">
      <c r="F440" s="17"/>
      <c r="G440" s="19"/>
      <c r="H440" s="23"/>
      <c r="I440" s="4"/>
      <c r="J440" s="14"/>
    </row>
    <row r="441" spans="6:10" ht="12.75">
      <c r="F441" s="17"/>
      <c r="G441" s="19"/>
      <c r="H441" s="23"/>
      <c r="I441" s="4"/>
      <c r="J441" s="14"/>
    </row>
    <row r="442" spans="6:10" ht="12.75">
      <c r="F442" s="17"/>
      <c r="G442" s="19"/>
      <c r="H442" s="23"/>
      <c r="I442" s="4"/>
      <c r="J442" s="14"/>
    </row>
    <row r="443" spans="6:10" ht="12.75">
      <c r="F443" s="17"/>
      <c r="G443" s="19"/>
      <c r="H443" s="23"/>
      <c r="I443" s="4"/>
      <c r="J443" s="14"/>
    </row>
    <row r="444" spans="6:10" ht="12.75">
      <c r="F444" s="17"/>
      <c r="G444" s="19"/>
      <c r="H444" s="23"/>
      <c r="I444" s="4"/>
      <c r="J444" s="14"/>
    </row>
    <row r="445" spans="6:10" ht="12.75">
      <c r="F445" s="17"/>
      <c r="G445" s="19"/>
      <c r="H445" s="23"/>
      <c r="I445" s="4"/>
      <c r="J445" s="14"/>
    </row>
    <row r="446" spans="6:10" ht="12.75">
      <c r="F446" s="17"/>
      <c r="G446" s="19"/>
      <c r="H446" s="23"/>
      <c r="I446" s="4"/>
      <c r="J446" s="14"/>
    </row>
    <row r="447" spans="6:10" ht="12.75">
      <c r="F447" s="17"/>
      <c r="G447" s="19"/>
      <c r="H447" s="23"/>
      <c r="I447" s="4"/>
      <c r="J447" s="14"/>
    </row>
    <row r="448" spans="6:10" ht="12.75">
      <c r="F448" s="17"/>
      <c r="G448" s="19"/>
      <c r="H448" s="23"/>
      <c r="I448" s="4"/>
      <c r="J448" s="14"/>
    </row>
    <row r="449" spans="6:10" ht="12.75">
      <c r="F449" s="17"/>
      <c r="G449" s="19"/>
      <c r="H449" s="23"/>
      <c r="I449" s="4"/>
      <c r="J449" s="14"/>
    </row>
    <row r="450" spans="6:10" ht="12.75">
      <c r="F450" s="17"/>
      <c r="G450" s="19"/>
      <c r="H450" s="23"/>
      <c r="I450" s="4"/>
      <c r="J450" s="14"/>
    </row>
    <row r="451" spans="6:10" ht="12.75">
      <c r="F451" s="17"/>
      <c r="G451" s="19"/>
      <c r="H451" s="23"/>
      <c r="I451" s="4"/>
      <c r="J451" s="14"/>
    </row>
    <row r="452" spans="6:10" ht="12.75">
      <c r="F452" s="17"/>
      <c r="G452" s="19"/>
      <c r="H452" s="23"/>
      <c r="I452" s="4"/>
      <c r="J452" s="14"/>
    </row>
    <row r="453" spans="6:10" ht="12.75">
      <c r="F453" s="17"/>
      <c r="G453" s="19"/>
      <c r="H453" s="23"/>
      <c r="I453" s="4"/>
      <c r="J453" s="14"/>
    </row>
    <row r="454" spans="6:10" ht="12.75">
      <c r="F454" s="17"/>
      <c r="G454" s="19"/>
      <c r="H454" s="23"/>
      <c r="I454" s="4"/>
      <c r="J454" s="14"/>
    </row>
    <row r="455" spans="6:10" ht="12.75">
      <c r="F455" s="17"/>
      <c r="G455" s="19"/>
      <c r="H455" s="23"/>
      <c r="I455" s="4"/>
      <c r="J455" s="14"/>
    </row>
    <row r="456" spans="6:10" ht="12.75">
      <c r="F456" s="17"/>
      <c r="G456" s="19"/>
      <c r="H456" s="23"/>
      <c r="I456" s="4"/>
      <c r="J456" s="14"/>
    </row>
    <row r="457" spans="6:10" ht="12.75">
      <c r="F457" s="17"/>
      <c r="G457" s="19"/>
      <c r="H457" s="23"/>
      <c r="I457" s="4"/>
      <c r="J457" s="14"/>
    </row>
    <row r="458" spans="6:10" ht="12.75">
      <c r="F458" s="17"/>
      <c r="G458" s="19"/>
      <c r="H458" s="23"/>
      <c r="I458" s="4"/>
      <c r="J458" s="14"/>
    </row>
    <row r="459" spans="6:10" ht="12.75">
      <c r="F459" s="17"/>
      <c r="G459" s="19"/>
      <c r="H459" s="23"/>
      <c r="I459" s="4"/>
      <c r="J459" s="14"/>
    </row>
    <row r="460" spans="6:10" ht="12.75">
      <c r="F460" s="17"/>
      <c r="G460" s="19"/>
      <c r="H460" s="23"/>
      <c r="I460" s="4"/>
      <c r="J460" s="14"/>
    </row>
    <row r="461" spans="6:10" ht="12.75">
      <c r="F461" s="17"/>
      <c r="G461" s="19"/>
      <c r="H461" s="23"/>
      <c r="I461" s="4"/>
      <c r="J461" s="14"/>
    </row>
    <row r="462" spans="6:10" ht="12.75">
      <c r="F462" s="17"/>
      <c r="G462" s="19"/>
      <c r="H462" s="23"/>
      <c r="I462" s="4"/>
      <c r="J462" s="14"/>
    </row>
    <row r="463" spans="6:10" ht="12.75">
      <c r="F463" s="17"/>
      <c r="G463" s="19"/>
      <c r="H463" s="23"/>
      <c r="I463" s="4"/>
      <c r="J463" s="14"/>
    </row>
    <row r="464" spans="6:10" ht="12.75">
      <c r="F464" s="17"/>
      <c r="G464" s="19"/>
      <c r="H464" s="23"/>
      <c r="I464" s="4"/>
      <c r="J464" s="14"/>
    </row>
    <row r="465" spans="6:10" ht="12.75">
      <c r="F465" s="17"/>
      <c r="G465" s="19"/>
      <c r="H465" s="23"/>
      <c r="I465" s="4"/>
      <c r="J465" s="14"/>
    </row>
    <row r="466" spans="6:10" ht="12.75">
      <c r="F466" s="17"/>
      <c r="G466" s="19"/>
      <c r="H466" s="23"/>
      <c r="I466" s="4"/>
      <c r="J466" s="14"/>
    </row>
    <row r="467" spans="6:10" ht="12.75">
      <c r="F467" s="17"/>
      <c r="G467" s="19"/>
      <c r="H467" s="23"/>
      <c r="I467" s="4"/>
      <c r="J467" s="14"/>
    </row>
    <row r="468" spans="6:10" ht="12.75">
      <c r="F468" s="17"/>
      <c r="G468" s="19"/>
      <c r="H468" s="23"/>
      <c r="I468" s="4"/>
      <c r="J468" s="14"/>
    </row>
    <row r="469" spans="6:10" ht="12.75">
      <c r="F469" s="17"/>
      <c r="G469" s="19"/>
      <c r="H469" s="23"/>
      <c r="I469" s="4"/>
      <c r="J469" s="14"/>
    </row>
    <row r="470" spans="6:10" ht="12.75">
      <c r="F470" s="17"/>
      <c r="G470" s="19"/>
      <c r="H470" s="23"/>
      <c r="I470" s="4"/>
      <c r="J470" s="14"/>
    </row>
    <row r="471" spans="6:10" ht="12.75">
      <c r="F471" s="17"/>
      <c r="G471" s="19"/>
      <c r="H471" s="23"/>
      <c r="I471" s="4"/>
      <c r="J471" s="14"/>
    </row>
    <row r="472" spans="6:10" ht="12.75">
      <c r="F472" s="17"/>
      <c r="G472" s="19"/>
      <c r="H472" s="23"/>
      <c r="I472" s="4"/>
      <c r="J472" s="14"/>
    </row>
    <row r="473" spans="6:10" ht="12.75">
      <c r="F473" s="17"/>
      <c r="G473" s="19"/>
      <c r="H473" s="23"/>
      <c r="I473" s="4"/>
      <c r="J473" s="14"/>
    </row>
    <row r="474" spans="6:10" ht="12.75">
      <c r="F474" s="17"/>
      <c r="G474" s="19"/>
      <c r="H474" s="23"/>
      <c r="I474" s="4"/>
      <c r="J474" s="14"/>
    </row>
    <row r="475" spans="6:10" ht="12.75">
      <c r="F475" s="17"/>
      <c r="G475" s="19"/>
      <c r="H475" s="23"/>
      <c r="I475" s="4"/>
      <c r="J475" s="14"/>
    </row>
    <row r="476" spans="6:10" ht="12.75">
      <c r="F476" s="17"/>
      <c r="G476" s="19"/>
      <c r="H476" s="23"/>
      <c r="I476" s="4"/>
      <c r="J476" s="14"/>
    </row>
    <row r="477" spans="6:10" ht="12.75">
      <c r="F477" s="17"/>
      <c r="G477" s="19"/>
      <c r="H477" s="23"/>
      <c r="I477" s="4"/>
      <c r="J477" s="14"/>
    </row>
    <row r="478" spans="6:10" ht="12.75">
      <c r="F478" s="17"/>
      <c r="G478" s="19"/>
      <c r="H478" s="23"/>
      <c r="I478" s="4"/>
      <c r="J478" s="14"/>
    </row>
    <row r="479" spans="6:10" ht="12.75">
      <c r="F479" s="17"/>
      <c r="G479" s="19"/>
      <c r="H479" s="23"/>
      <c r="I479" s="4"/>
      <c r="J479" s="14"/>
    </row>
    <row r="480" spans="6:10" ht="12.75">
      <c r="F480" s="17"/>
      <c r="G480" s="19"/>
      <c r="H480" s="23"/>
      <c r="I480" s="4"/>
      <c r="J480" s="14"/>
    </row>
    <row r="481" spans="6:10" ht="12.75">
      <c r="F481" s="17"/>
      <c r="G481" s="19"/>
      <c r="H481" s="23"/>
      <c r="I481" s="4"/>
      <c r="J481" s="14"/>
    </row>
    <row r="482" spans="6:10" ht="12.75">
      <c r="F482" s="17"/>
      <c r="G482" s="19"/>
      <c r="H482" s="23"/>
      <c r="I482" s="4"/>
      <c r="J482" s="14"/>
    </row>
    <row r="483" spans="6:10" ht="12.75">
      <c r="F483" s="17"/>
      <c r="G483" s="19"/>
      <c r="H483" s="23"/>
      <c r="I483" s="4"/>
      <c r="J483" s="14"/>
    </row>
    <row r="484" spans="6:10" ht="12.75">
      <c r="F484" s="17"/>
      <c r="G484" s="19"/>
      <c r="H484" s="23"/>
      <c r="I484" s="4"/>
      <c r="J484" s="14"/>
    </row>
    <row r="485" spans="6:10" ht="12.75">
      <c r="F485" s="17"/>
      <c r="G485" s="19"/>
      <c r="H485" s="23"/>
      <c r="I485" s="4"/>
      <c r="J485" s="14"/>
    </row>
    <row r="486" spans="6:10" ht="12.75">
      <c r="F486" s="17"/>
      <c r="G486" s="19"/>
      <c r="H486" s="23"/>
      <c r="I486" s="4"/>
      <c r="J486" s="14"/>
    </row>
    <row r="487" spans="6:10" ht="12.75">
      <c r="F487" s="17"/>
      <c r="G487" s="19"/>
      <c r="H487" s="23"/>
      <c r="I487" s="4"/>
      <c r="J487" s="14"/>
    </row>
    <row r="488" spans="6:10" ht="12.75">
      <c r="F488" s="17"/>
      <c r="G488" s="19"/>
      <c r="H488" s="23"/>
      <c r="I488" s="4"/>
      <c r="J488" s="14"/>
    </row>
    <row r="489" spans="6:10" ht="12.75">
      <c r="F489" s="17"/>
      <c r="G489" s="19"/>
      <c r="H489" s="23"/>
      <c r="I489" s="4"/>
      <c r="J489" s="14"/>
    </row>
    <row r="490" spans="6:10" ht="12.75">
      <c r="F490" s="17"/>
      <c r="G490" s="19"/>
      <c r="H490" s="23"/>
      <c r="I490" s="4"/>
      <c r="J490" s="14"/>
    </row>
    <row r="491" spans="6:10" ht="12.75">
      <c r="F491" s="17"/>
      <c r="G491" s="19"/>
      <c r="H491" s="23"/>
      <c r="I491" s="4"/>
      <c r="J491" s="14"/>
    </row>
    <row r="492" spans="6:10" ht="12.75">
      <c r="F492" s="17"/>
      <c r="G492" s="19"/>
      <c r="H492" s="23"/>
      <c r="I492" s="4"/>
      <c r="J492" s="14"/>
    </row>
    <row r="493" spans="6:10" ht="12.75">
      <c r="F493" s="17"/>
      <c r="G493" s="19"/>
      <c r="H493" s="23"/>
      <c r="I493" s="4"/>
      <c r="J493" s="14"/>
    </row>
    <row r="494" spans="6:10" ht="12.75">
      <c r="F494" s="17"/>
      <c r="G494" s="19"/>
      <c r="H494" s="23"/>
      <c r="I494" s="4"/>
      <c r="J494" s="14"/>
    </row>
    <row r="495" spans="6:10" ht="12.75">
      <c r="F495" s="17"/>
      <c r="G495" s="19"/>
      <c r="H495" s="23"/>
      <c r="I495" s="4"/>
      <c r="J495" s="14"/>
    </row>
    <row r="496" spans="6:10" ht="12.75">
      <c r="F496" s="17"/>
      <c r="G496" s="19"/>
      <c r="H496" s="23"/>
      <c r="I496" s="4"/>
      <c r="J496" s="14"/>
    </row>
    <row r="497" spans="6:10" ht="12.75">
      <c r="F497" s="17"/>
      <c r="G497" s="19"/>
      <c r="H497" s="23"/>
      <c r="I497" s="4"/>
      <c r="J497" s="14"/>
    </row>
    <row r="498" spans="6:10" ht="12.75">
      <c r="F498" s="17"/>
      <c r="G498" s="19"/>
      <c r="H498" s="23"/>
      <c r="I498" s="4"/>
      <c r="J498" s="14"/>
    </row>
    <row r="499" spans="6:10" ht="12.75">
      <c r="F499" s="17"/>
      <c r="G499" s="19"/>
      <c r="H499" s="23"/>
      <c r="I499" s="4"/>
      <c r="J499" s="14"/>
    </row>
    <row r="500" spans="6:10" ht="12.75">
      <c r="F500" s="17"/>
      <c r="G500" s="19"/>
      <c r="H500" s="23"/>
      <c r="I500" s="4"/>
      <c r="J500" s="14"/>
    </row>
    <row r="501" spans="6:10" ht="12.75">
      <c r="F501" s="17"/>
      <c r="G501" s="19"/>
      <c r="H501" s="23"/>
      <c r="I501" s="4"/>
      <c r="J501" s="14"/>
    </row>
    <row r="502" spans="6:10" ht="12.75">
      <c r="F502" s="17"/>
      <c r="G502" s="19"/>
      <c r="H502" s="23"/>
      <c r="I502" s="4"/>
      <c r="J502" s="14"/>
    </row>
    <row r="503" spans="6:10" ht="12.75">
      <c r="F503" s="17"/>
      <c r="G503" s="19"/>
      <c r="H503" s="23"/>
      <c r="I503" s="4"/>
      <c r="J503" s="14"/>
    </row>
    <row r="504" spans="6:10" ht="12.75">
      <c r="F504" s="17"/>
      <c r="G504" s="19"/>
      <c r="H504" s="23"/>
      <c r="I504" s="4"/>
      <c r="J504" s="14"/>
    </row>
    <row r="505" spans="6:10" ht="12.75">
      <c r="F505" s="17"/>
      <c r="G505" s="19"/>
      <c r="H505" s="23"/>
      <c r="I505" s="4"/>
      <c r="J505" s="14"/>
    </row>
    <row r="506" spans="6:10" ht="12.75">
      <c r="F506" s="17"/>
      <c r="G506" s="19"/>
      <c r="H506" s="23"/>
      <c r="I506" s="4"/>
      <c r="J506" s="14"/>
    </row>
    <row r="507" spans="6:10" ht="12.75">
      <c r="F507" s="17"/>
      <c r="G507" s="19"/>
      <c r="H507" s="23"/>
      <c r="I507" s="4"/>
      <c r="J507" s="14"/>
    </row>
    <row r="508" spans="6:10" ht="12.75">
      <c r="F508" s="17"/>
      <c r="G508" s="19"/>
      <c r="H508" s="23"/>
      <c r="I508" s="4"/>
      <c r="J508" s="14"/>
    </row>
    <row r="509" spans="6:10" ht="12.75">
      <c r="F509" s="17"/>
      <c r="G509" s="19"/>
      <c r="H509" s="23"/>
      <c r="I509" s="4"/>
      <c r="J509" s="14"/>
    </row>
    <row r="510" spans="6:10" ht="12.75">
      <c r="F510" s="17"/>
      <c r="G510" s="19"/>
      <c r="H510" s="23"/>
      <c r="I510" s="4"/>
      <c r="J510" s="14"/>
    </row>
    <row r="511" spans="6:10" ht="12.75">
      <c r="F511" s="17"/>
      <c r="G511" s="19"/>
      <c r="H511" s="23"/>
      <c r="I511" s="4"/>
      <c r="J511" s="14"/>
    </row>
    <row r="512" spans="6:10" ht="12.75">
      <c r="F512" s="17"/>
      <c r="G512" s="19"/>
      <c r="H512" s="23"/>
      <c r="I512" s="4"/>
      <c r="J512" s="14"/>
    </row>
    <row r="513" spans="6:10" ht="12.75">
      <c r="F513" s="17"/>
      <c r="G513" s="19"/>
      <c r="H513" s="23"/>
      <c r="I513" s="4"/>
      <c r="J513" s="14"/>
    </row>
    <row r="514" spans="6:10" ht="12.75">
      <c r="F514" s="17"/>
      <c r="G514" s="19"/>
      <c r="H514" s="23"/>
      <c r="I514" s="4"/>
      <c r="J514" s="14"/>
    </row>
    <row r="515" spans="6:10" ht="12.75">
      <c r="F515" s="17"/>
      <c r="G515" s="19"/>
      <c r="H515" s="23"/>
      <c r="I515" s="4"/>
      <c r="J515" s="14"/>
    </row>
    <row r="516" spans="6:10" ht="12.75">
      <c r="F516" s="17"/>
      <c r="G516" s="19"/>
      <c r="H516" s="23"/>
      <c r="I516" s="4"/>
      <c r="J516" s="14"/>
    </row>
    <row r="517" spans="6:10" ht="12.75">
      <c r="F517" s="17"/>
      <c r="G517" s="19"/>
      <c r="H517" s="23"/>
      <c r="I517" s="4"/>
      <c r="J517" s="14"/>
    </row>
    <row r="518" spans="6:10" ht="12.75">
      <c r="F518" s="17"/>
      <c r="G518" s="19"/>
      <c r="H518" s="23"/>
      <c r="I518" s="4"/>
      <c r="J518" s="14"/>
    </row>
    <row r="519" spans="6:10" ht="12.75">
      <c r="F519" s="17"/>
      <c r="G519" s="19"/>
      <c r="H519" s="23"/>
      <c r="I519" s="4"/>
      <c r="J519" s="14"/>
    </row>
    <row r="520" spans="6:10" ht="12.75">
      <c r="F520" s="17"/>
      <c r="G520" s="19"/>
      <c r="H520" s="23"/>
      <c r="I520" s="4"/>
      <c r="J520" s="14"/>
    </row>
    <row r="521" spans="6:10" ht="12.75">
      <c r="F521" s="17"/>
      <c r="G521" s="19"/>
      <c r="H521" s="23"/>
      <c r="I521" s="4"/>
      <c r="J521" s="14"/>
    </row>
    <row r="522" spans="6:10" ht="12.75">
      <c r="F522" s="17"/>
      <c r="G522" s="19"/>
      <c r="H522" s="23"/>
      <c r="I522" s="4"/>
      <c r="J522" s="14"/>
    </row>
    <row r="523" spans="6:10" ht="12.75">
      <c r="F523" s="17"/>
      <c r="G523" s="19"/>
      <c r="H523" s="23"/>
      <c r="I523" s="4"/>
      <c r="J523" s="14"/>
    </row>
    <row r="524" spans="6:10" ht="12.75">
      <c r="F524" s="17"/>
      <c r="G524" s="19"/>
      <c r="H524" s="23"/>
      <c r="I524" s="4"/>
      <c r="J524" s="14"/>
    </row>
    <row r="525" spans="6:10" ht="12.75">
      <c r="F525" s="17"/>
      <c r="G525" s="19"/>
      <c r="H525" s="23"/>
      <c r="I525" s="4"/>
      <c r="J525" s="14"/>
    </row>
    <row r="526" spans="6:10" ht="12.75">
      <c r="F526" s="17"/>
      <c r="G526" s="19"/>
      <c r="H526" s="23"/>
      <c r="I526" s="4"/>
      <c r="J526" s="14"/>
    </row>
    <row r="527" spans="6:10" ht="12.75">
      <c r="F527" s="17"/>
      <c r="G527" s="19"/>
      <c r="H527" s="23"/>
      <c r="I527" s="4"/>
      <c r="J527" s="14"/>
    </row>
    <row r="528" spans="6:10" ht="12.75">
      <c r="F528" s="17"/>
      <c r="G528" s="19"/>
      <c r="H528" s="23"/>
      <c r="I528" s="4"/>
      <c r="J528" s="14"/>
    </row>
    <row r="529" spans="6:10" ht="12.75">
      <c r="F529" s="17"/>
      <c r="G529" s="19"/>
      <c r="H529" s="23"/>
      <c r="I529" s="4"/>
      <c r="J529" s="14"/>
    </row>
    <row r="530" spans="6:10" ht="12.75">
      <c r="F530" s="17"/>
      <c r="G530" s="19"/>
      <c r="H530" s="23"/>
      <c r="I530" s="4"/>
      <c r="J530" s="14"/>
    </row>
    <row r="531" spans="6:10" ht="12.75">
      <c r="F531" s="17"/>
      <c r="G531" s="19"/>
      <c r="H531" s="23"/>
      <c r="I531" s="4"/>
      <c r="J531" s="14"/>
    </row>
    <row r="532" spans="6:10" ht="12.75">
      <c r="F532" s="17"/>
      <c r="G532" s="19"/>
      <c r="H532" s="23"/>
      <c r="I532" s="4"/>
      <c r="J532" s="14"/>
    </row>
    <row r="533" spans="6:10" ht="12.75">
      <c r="F533" s="17"/>
      <c r="G533" s="19"/>
      <c r="H533" s="23"/>
      <c r="I533" s="4"/>
      <c r="J533" s="14"/>
    </row>
    <row r="534" spans="6:10" ht="12.75">
      <c r="F534" s="17"/>
      <c r="G534" s="19"/>
      <c r="H534" s="23"/>
      <c r="I534" s="4"/>
      <c r="J534" s="14"/>
    </row>
    <row r="535" spans="6:10" ht="12.75">
      <c r="F535" s="17"/>
      <c r="G535" s="19"/>
      <c r="H535" s="23"/>
      <c r="I535" s="4"/>
      <c r="J535" s="14"/>
    </row>
    <row r="536" spans="6:10" ht="12.75">
      <c r="F536" s="17"/>
      <c r="G536" s="19"/>
      <c r="H536" s="23"/>
      <c r="I536" s="4"/>
      <c r="J536" s="14"/>
    </row>
    <row r="537" spans="6:10" ht="12.75">
      <c r="F537" s="17"/>
      <c r="G537" s="19"/>
      <c r="H537" s="23"/>
      <c r="I537" s="4"/>
      <c r="J537" s="14"/>
    </row>
    <row r="538" spans="6:10" ht="12.75">
      <c r="F538" s="17"/>
      <c r="G538" s="19"/>
      <c r="H538" s="23"/>
      <c r="I538" s="4"/>
      <c r="J538" s="14"/>
    </row>
    <row r="539" spans="6:10" ht="12.75">
      <c r="F539" s="17"/>
      <c r="G539" s="19"/>
      <c r="H539" s="23"/>
      <c r="I539" s="4"/>
      <c r="J539" s="14"/>
    </row>
    <row r="540" spans="6:10" ht="12.75">
      <c r="F540" s="17"/>
      <c r="G540" s="19"/>
      <c r="H540" s="23"/>
      <c r="I540" s="4"/>
      <c r="J540" s="14"/>
    </row>
    <row r="541" spans="6:10" ht="12.75">
      <c r="F541" s="17"/>
      <c r="G541" s="19"/>
      <c r="H541" s="23"/>
      <c r="I541" s="4"/>
      <c r="J541" s="14"/>
    </row>
    <row r="542" spans="6:10" ht="12.75">
      <c r="F542" s="17"/>
      <c r="G542" s="19"/>
      <c r="H542" s="23"/>
      <c r="I542" s="4"/>
      <c r="J542" s="14"/>
    </row>
    <row r="543" spans="6:10" ht="12.75">
      <c r="F543" s="17"/>
      <c r="G543" s="19"/>
      <c r="H543" s="23"/>
      <c r="I543" s="4"/>
      <c r="J543" s="14"/>
    </row>
    <row r="544" spans="6:10" ht="12.75">
      <c r="F544" s="17"/>
      <c r="G544" s="19"/>
      <c r="H544" s="23"/>
      <c r="I544" s="4"/>
      <c r="J544" s="14"/>
    </row>
    <row r="545" spans="6:10" ht="12.75">
      <c r="F545" s="17"/>
      <c r="G545" s="19"/>
      <c r="H545" s="23"/>
      <c r="I545" s="4"/>
      <c r="J545" s="14"/>
    </row>
    <row r="546" spans="6:10" ht="12.75">
      <c r="F546" s="17"/>
      <c r="G546" s="19"/>
      <c r="H546" s="23"/>
      <c r="I546" s="4"/>
      <c r="J546" s="14"/>
    </row>
    <row r="547" spans="6:10" ht="12.75">
      <c r="F547" s="17"/>
      <c r="G547" s="19"/>
      <c r="H547" s="23"/>
      <c r="I547" s="4"/>
      <c r="J547" s="14"/>
    </row>
    <row r="548" spans="6:10" ht="12.75">
      <c r="F548" s="17"/>
      <c r="G548" s="19"/>
      <c r="H548" s="23"/>
      <c r="I548" s="4"/>
      <c r="J548" s="14"/>
    </row>
    <row r="549" spans="6:10" ht="12.75">
      <c r="F549" s="17"/>
      <c r="G549" s="19"/>
      <c r="H549" s="23"/>
      <c r="I549" s="4"/>
      <c r="J549" s="14"/>
    </row>
    <row r="550" spans="6:10" ht="12.75">
      <c r="F550" s="17"/>
      <c r="G550" s="19"/>
      <c r="H550" s="23"/>
      <c r="I550" s="4"/>
      <c r="J550" s="14"/>
    </row>
    <row r="551" spans="6:10" ht="12.75">
      <c r="F551" s="17"/>
      <c r="G551" s="19"/>
      <c r="H551" s="23"/>
      <c r="I551" s="4"/>
      <c r="J551" s="14"/>
    </row>
    <row r="552" spans="6:10" ht="12.75">
      <c r="F552" s="17"/>
      <c r="G552" s="19"/>
      <c r="H552" s="23"/>
      <c r="I552" s="4"/>
      <c r="J552" s="14"/>
    </row>
    <row r="553" spans="6:10" ht="12.75">
      <c r="F553" s="17"/>
      <c r="G553" s="19"/>
      <c r="H553" s="23"/>
      <c r="I553" s="4"/>
      <c r="J553" s="14"/>
    </row>
    <row r="554" spans="6:10" ht="12.75">
      <c r="F554" s="17"/>
      <c r="G554" s="19"/>
      <c r="H554" s="23"/>
      <c r="I554" s="4"/>
      <c r="J554" s="14"/>
    </row>
    <row r="555" spans="6:10" ht="12.75">
      <c r="F555" s="17"/>
      <c r="G555" s="19"/>
      <c r="H555" s="23"/>
      <c r="I555" s="4"/>
      <c r="J555" s="14"/>
    </row>
    <row r="556" spans="6:10" ht="12.75">
      <c r="F556" s="17"/>
      <c r="G556" s="19"/>
      <c r="H556" s="23"/>
      <c r="I556" s="4"/>
      <c r="J556" s="14"/>
    </row>
    <row r="557" spans="6:10" ht="12.75">
      <c r="F557" s="17"/>
      <c r="G557" s="19"/>
      <c r="H557" s="23"/>
      <c r="I557" s="4"/>
      <c r="J557" s="14"/>
    </row>
    <row r="558" spans="6:10" ht="12.75">
      <c r="F558" s="17"/>
      <c r="G558" s="19"/>
      <c r="H558" s="23"/>
      <c r="I558" s="4"/>
      <c r="J558" s="14"/>
    </row>
    <row r="559" spans="6:10" ht="12.75">
      <c r="F559" s="17"/>
      <c r="G559" s="19"/>
      <c r="H559" s="23"/>
      <c r="I559" s="4"/>
      <c r="J559" s="14"/>
    </row>
    <row r="560" spans="6:10" ht="12.75">
      <c r="F560" s="17"/>
      <c r="G560" s="19"/>
      <c r="H560" s="23"/>
      <c r="I560" s="4"/>
      <c r="J560" s="14"/>
    </row>
    <row r="561" spans="6:10" ht="12.75">
      <c r="F561" s="17"/>
      <c r="G561" s="19"/>
      <c r="H561" s="23"/>
      <c r="I561" s="4"/>
      <c r="J561" s="14"/>
    </row>
    <row r="562" spans="6:10" ht="12.75">
      <c r="F562" s="17"/>
      <c r="G562" s="19"/>
      <c r="H562" s="23"/>
      <c r="I562" s="4"/>
      <c r="J562" s="14"/>
    </row>
    <row r="563" spans="6:10" ht="12.75">
      <c r="F563" s="17"/>
      <c r="G563" s="19"/>
      <c r="H563" s="23"/>
      <c r="I563" s="4"/>
      <c r="J563" s="14"/>
    </row>
    <row r="564" spans="6:10" ht="12.75">
      <c r="F564" s="17"/>
      <c r="G564" s="19"/>
      <c r="H564" s="23"/>
      <c r="I564" s="4"/>
      <c r="J564" s="14"/>
    </row>
    <row r="565" spans="6:10" ht="12.75">
      <c r="F565" s="17"/>
      <c r="G565" s="19"/>
      <c r="H565" s="23"/>
      <c r="I565" s="4"/>
      <c r="J565" s="14"/>
    </row>
    <row r="566" spans="6:10" ht="12.75">
      <c r="F566" s="17"/>
      <c r="G566" s="19"/>
      <c r="H566" s="23"/>
      <c r="I566" s="4"/>
      <c r="J566" s="14"/>
    </row>
    <row r="567" spans="6:10" ht="12.75">
      <c r="F567" s="17"/>
      <c r="G567" s="19"/>
      <c r="H567" s="23"/>
      <c r="I567" s="4"/>
      <c r="J567" s="14"/>
    </row>
    <row r="568" spans="6:10" ht="12.75">
      <c r="F568" s="17"/>
      <c r="G568" s="19"/>
      <c r="H568" s="23"/>
      <c r="I568" s="4"/>
      <c r="J568" s="14"/>
    </row>
    <row r="569" spans="6:10" ht="12.75">
      <c r="F569" s="17"/>
      <c r="G569" s="19"/>
      <c r="H569" s="23"/>
      <c r="I569" s="4"/>
      <c r="J569" s="14"/>
    </row>
    <row r="570" spans="6:10" ht="12.75">
      <c r="F570" s="17"/>
      <c r="G570" s="19"/>
      <c r="H570" s="23"/>
      <c r="I570" s="4"/>
      <c r="J570" s="14"/>
    </row>
    <row r="571" spans="6:10" ht="12.75">
      <c r="F571" s="17"/>
      <c r="G571" s="19"/>
      <c r="H571" s="23"/>
      <c r="I571" s="4"/>
      <c r="J571" s="14"/>
    </row>
    <row r="572" spans="6:10" ht="12.75">
      <c r="F572" s="17"/>
      <c r="G572" s="19"/>
      <c r="H572" s="23"/>
      <c r="I572" s="4"/>
      <c r="J572" s="14"/>
    </row>
    <row r="573" spans="6:10" ht="12.75">
      <c r="F573" s="17"/>
      <c r="G573" s="19"/>
      <c r="H573" s="23"/>
      <c r="I573" s="4"/>
      <c r="J573" s="14"/>
    </row>
    <row r="574" spans="6:10" ht="12.75">
      <c r="F574" s="17"/>
      <c r="G574" s="19"/>
      <c r="H574" s="23"/>
      <c r="I574" s="4"/>
      <c r="J574" s="14"/>
    </row>
    <row r="575" spans="6:10" ht="12.75">
      <c r="F575" s="17"/>
      <c r="G575" s="19"/>
      <c r="H575" s="23"/>
      <c r="I575" s="4"/>
      <c r="J575" s="14"/>
    </row>
    <row r="576" spans="6:10" ht="12.75">
      <c r="F576" s="17"/>
      <c r="G576" s="19"/>
      <c r="H576" s="23"/>
      <c r="I576" s="4"/>
      <c r="J576" s="14"/>
    </row>
    <row r="577" spans="6:10" ht="12.75">
      <c r="F577" s="17"/>
      <c r="G577" s="19"/>
      <c r="H577" s="23"/>
      <c r="I577" s="4"/>
      <c r="J577" s="14"/>
    </row>
    <row r="578" spans="6:10" ht="12.75">
      <c r="F578" s="17"/>
      <c r="G578" s="19"/>
      <c r="H578" s="23"/>
      <c r="I578" s="4"/>
      <c r="J578" s="14"/>
    </row>
    <row r="579" spans="6:10" ht="12.75">
      <c r="F579" s="17"/>
      <c r="G579" s="19"/>
      <c r="H579" s="23"/>
      <c r="I579" s="4"/>
      <c r="J579" s="14"/>
    </row>
    <row r="580" spans="6:10" ht="12.75">
      <c r="F580" s="17"/>
      <c r="G580" s="19"/>
      <c r="H580" s="23"/>
      <c r="I580" s="4"/>
      <c r="J580" s="14"/>
    </row>
    <row r="581" spans="6:10" ht="12.75">
      <c r="F581" s="17"/>
      <c r="G581" s="19"/>
      <c r="H581" s="23"/>
      <c r="I581" s="4"/>
      <c r="J581" s="14"/>
    </row>
    <row r="582" spans="6:10" ht="12.75">
      <c r="F582" s="17"/>
      <c r="G582" s="19"/>
      <c r="H582" s="23"/>
      <c r="I582" s="4"/>
      <c r="J582" s="14"/>
    </row>
    <row r="583" spans="6:10" ht="12.75">
      <c r="F583" s="17"/>
      <c r="G583" s="19"/>
      <c r="H583" s="23"/>
      <c r="I583" s="4"/>
      <c r="J583" s="14"/>
    </row>
    <row r="584" spans="6:10" ht="12.75">
      <c r="F584" s="17"/>
      <c r="G584" s="19"/>
      <c r="H584" s="23"/>
      <c r="I584" s="4"/>
      <c r="J584" s="14"/>
    </row>
    <row r="585" spans="6:10" ht="12.75">
      <c r="F585" s="17"/>
      <c r="G585" s="19"/>
      <c r="H585" s="23"/>
      <c r="I585" s="4"/>
      <c r="J585" s="14"/>
    </row>
    <row r="586" spans="6:10" ht="12.75">
      <c r="F586" s="17"/>
      <c r="G586" s="19"/>
      <c r="H586" s="23"/>
      <c r="I586" s="4"/>
      <c r="J586" s="14"/>
    </row>
    <row r="587" spans="6:10" ht="12.75">
      <c r="F587" s="17"/>
      <c r="G587" s="19"/>
      <c r="H587" s="23"/>
      <c r="I587" s="4"/>
      <c r="J587" s="14"/>
    </row>
    <row r="588" spans="6:10" ht="12.75">
      <c r="F588" s="17"/>
      <c r="G588" s="19"/>
      <c r="H588" s="23"/>
      <c r="I588" s="4"/>
      <c r="J588" s="14"/>
    </row>
    <row r="589" spans="6:10" ht="12.75">
      <c r="F589" s="17"/>
      <c r="G589" s="19"/>
      <c r="H589" s="23"/>
      <c r="I589" s="4"/>
      <c r="J589" s="14"/>
    </row>
    <row r="590" spans="6:10" ht="12.75">
      <c r="F590" s="17"/>
      <c r="G590" s="19"/>
      <c r="H590" s="23"/>
      <c r="I590" s="4"/>
      <c r="J590" s="14"/>
    </row>
    <row r="591" spans="6:10" ht="12.75">
      <c r="F591" s="17"/>
      <c r="G591" s="19"/>
      <c r="H591" s="23"/>
      <c r="I591" s="4"/>
      <c r="J591" s="14"/>
    </row>
    <row r="592" spans="6:10" ht="12.75">
      <c r="F592" s="17"/>
      <c r="G592" s="19"/>
      <c r="H592" s="23"/>
      <c r="I592" s="4"/>
      <c r="J592" s="14"/>
    </row>
    <row r="593" spans="6:10" ht="12.75">
      <c r="F593" s="17"/>
      <c r="G593" s="19"/>
      <c r="H593" s="23"/>
      <c r="I593" s="4"/>
      <c r="J593" s="14"/>
    </row>
    <row r="594" spans="6:10" ht="12.75">
      <c r="F594" s="17"/>
      <c r="G594" s="19"/>
      <c r="H594" s="23"/>
      <c r="I594" s="4"/>
      <c r="J594" s="14"/>
    </row>
    <row r="595" spans="6:10" ht="12.75">
      <c r="F595" s="17"/>
      <c r="G595" s="19"/>
      <c r="H595" s="23"/>
      <c r="I595" s="4"/>
      <c r="J595" s="14"/>
    </row>
    <row r="596" spans="6:10" ht="12.75">
      <c r="F596" s="17"/>
      <c r="G596" s="19"/>
      <c r="H596" s="23"/>
      <c r="I596" s="4"/>
      <c r="J596" s="14"/>
    </row>
    <row r="597" spans="6:10" ht="12.75">
      <c r="F597" s="17"/>
      <c r="G597" s="19"/>
      <c r="H597" s="23"/>
      <c r="I597" s="4"/>
      <c r="J597" s="14"/>
    </row>
    <row r="598" spans="6:10" ht="12.75">
      <c r="F598" s="17"/>
      <c r="G598" s="19"/>
      <c r="H598" s="23"/>
      <c r="I598" s="4"/>
      <c r="J598" s="14"/>
    </row>
    <row r="599" spans="6:10" ht="12.75">
      <c r="F599" s="17"/>
      <c r="G599" s="19"/>
      <c r="H599" s="23"/>
      <c r="I599" s="4"/>
      <c r="J599" s="14"/>
    </row>
    <row r="600" spans="6:10" ht="12.75">
      <c r="F600" s="17"/>
      <c r="G600" s="19"/>
      <c r="H600" s="23"/>
      <c r="I600" s="4"/>
      <c r="J600" s="14"/>
    </row>
    <row r="601" spans="6:10" ht="12.75">
      <c r="F601" s="17"/>
      <c r="G601" s="19"/>
      <c r="H601" s="23"/>
      <c r="I601" s="4"/>
      <c r="J601" s="14"/>
    </row>
    <row r="602" spans="6:10" ht="12.75">
      <c r="F602" s="17"/>
      <c r="G602" s="19"/>
      <c r="H602" s="23"/>
      <c r="I602" s="4"/>
      <c r="J602" s="14"/>
    </row>
    <row r="603" spans="6:10" ht="12.75">
      <c r="F603" s="17"/>
      <c r="G603" s="19"/>
      <c r="H603" s="23"/>
      <c r="I603" s="4"/>
      <c r="J603" s="14"/>
    </row>
    <row r="604" spans="6:10" ht="12.75">
      <c r="F604" s="17"/>
      <c r="G604" s="19"/>
      <c r="H604" s="23"/>
      <c r="I604" s="4"/>
      <c r="J604" s="14"/>
    </row>
    <row r="605" spans="6:10" ht="12.75">
      <c r="F605" s="17"/>
      <c r="G605" s="19"/>
      <c r="H605" s="23"/>
      <c r="I605" s="4"/>
      <c r="J605" s="14"/>
    </row>
    <row r="606" spans="6:10" ht="12.75">
      <c r="F606" s="17"/>
      <c r="G606" s="19"/>
      <c r="H606" s="23"/>
      <c r="I606" s="4"/>
      <c r="J606" s="14"/>
    </row>
    <row r="607" spans="6:10" ht="12.75">
      <c r="F607" s="17"/>
      <c r="G607" s="19"/>
      <c r="H607" s="23"/>
      <c r="I607" s="4"/>
      <c r="J607" s="14"/>
    </row>
    <row r="608" spans="6:10" ht="12.75">
      <c r="F608" s="17"/>
      <c r="G608" s="19"/>
      <c r="H608" s="23"/>
      <c r="I608" s="4"/>
      <c r="J608" s="14"/>
    </row>
    <row r="609" spans="6:10" ht="12.75">
      <c r="F609" s="17"/>
      <c r="G609" s="19"/>
      <c r="H609" s="23"/>
      <c r="I609" s="4"/>
      <c r="J609" s="14"/>
    </row>
    <row r="610" spans="6:10" ht="12.75">
      <c r="F610" s="17"/>
      <c r="G610" s="19"/>
      <c r="H610" s="23"/>
      <c r="I610" s="4"/>
      <c r="J610" s="14"/>
    </row>
    <row r="611" spans="6:10" ht="12.75">
      <c r="F611" s="17"/>
      <c r="G611" s="19"/>
      <c r="H611" s="23"/>
      <c r="I611" s="4"/>
      <c r="J611" s="14"/>
    </row>
    <row r="612" spans="6:10" ht="12.75">
      <c r="F612" s="17"/>
      <c r="G612" s="19"/>
      <c r="H612" s="23"/>
      <c r="I612" s="4"/>
      <c r="J612" s="14"/>
    </row>
    <row r="613" spans="6:10" ht="12.75">
      <c r="F613" s="17"/>
      <c r="G613" s="19"/>
      <c r="H613" s="23"/>
      <c r="I613" s="4"/>
      <c r="J613" s="14"/>
    </row>
    <row r="614" spans="6:10" ht="12.75">
      <c r="F614" s="17"/>
      <c r="G614" s="19"/>
      <c r="H614" s="23"/>
      <c r="I614" s="4"/>
      <c r="J614" s="14"/>
    </row>
    <row r="615" spans="6:10" ht="12.75">
      <c r="F615" s="17"/>
      <c r="G615" s="19"/>
      <c r="H615" s="23"/>
      <c r="I615" s="4"/>
      <c r="J615" s="14"/>
    </row>
    <row r="616" spans="6:10" ht="12.75">
      <c r="F616" s="17"/>
      <c r="G616" s="19"/>
      <c r="H616" s="23"/>
      <c r="I616" s="4"/>
      <c r="J616" s="14"/>
    </row>
    <row r="617" spans="6:10" ht="12.75">
      <c r="F617" s="17"/>
      <c r="G617" s="19"/>
      <c r="H617" s="23"/>
      <c r="I617" s="4"/>
      <c r="J617" s="14"/>
    </row>
    <row r="618" spans="6:10" ht="12.75">
      <c r="F618" s="17"/>
      <c r="G618" s="19"/>
      <c r="H618" s="23"/>
      <c r="I618" s="4"/>
      <c r="J618" s="14"/>
    </row>
    <row r="619" spans="6:10" ht="12.75">
      <c r="F619" s="17"/>
      <c r="G619" s="19"/>
      <c r="H619" s="23"/>
      <c r="I619" s="4"/>
      <c r="J619" s="14"/>
    </row>
    <row r="620" spans="6:10" ht="12.75">
      <c r="F620" s="17"/>
      <c r="G620" s="19"/>
      <c r="H620" s="23"/>
      <c r="I620" s="4"/>
      <c r="J620" s="14"/>
    </row>
    <row r="621" spans="6:10" ht="12.75">
      <c r="F621" s="17"/>
      <c r="G621" s="19"/>
      <c r="H621" s="23"/>
      <c r="I621" s="4"/>
      <c r="J621" s="14"/>
    </row>
    <row r="622" spans="6:10" ht="12.75">
      <c r="F622" s="17"/>
      <c r="G622" s="19"/>
      <c r="H622" s="23"/>
      <c r="I622" s="4"/>
      <c r="J622" s="14"/>
    </row>
    <row r="623" spans="6:10" ht="12.75">
      <c r="F623" s="17"/>
      <c r="G623" s="19"/>
      <c r="H623" s="23"/>
      <c r="I623" s="4"/>
      <c r="J623" s="14"/>
    </row>
    <row r="624" spans="6:10" ht="12.75">
      <c r="F624" s="17"/>
      <c r="G624" s="19"/>
      <c r="H624" s="23"/>
      <c r="I624" s="4"/>
      <c r="J624" s="14"/>
    </row>
    <row r="625" spans="6:10" ht="12.75">
      <c r="F625" s="17"/>
      <c r="G625" s="19"/>
      <c r="H625" s="23"/>
      <c r="I625" s="4"/>
      <c r="J625" s="14"/>
    </row>
    <row r="626" spans="6:10" ht="12.75">
      <c r="F626" s="17"/>
      <c r="G626" s="19"/>
      <c r="H626" s="23"/>
      <c r="I626" s="4"/>
      <c r="J626" s="14"/>
    </row>
    <row r="627" spans="6:10" ht="12.75">
      <c r="F627" s="17"/>
      <c r="G627" s="19"/>
      <c r="H627" s="23"/>
      <c r="I627" s="4"/>
      <c r="J627" s="14"/>
    </row>
    <row r="628" spans="6:10" ht="12.75">
      <c r="F628" s="17"/>
      <c r="G628" s="19"/>
      <c r="H628" s="23"/>
      <c r="I628" s="4"/>
      <c r="J628" s="14"/>
    </row>
    <row r="629" spans="6:10" ht="12.75">
      <c r="F629" s="17"/>
      <c r="G629" s="19"/>
      <c r="H629" s="23"/>
      <c r="I629" s="4"/>
      <c r="J629" s="14"/>
    </row>
    <row r="630" spans="6:10" ht="12.75">
      <c r="F630" s="17"/>
      <c r="G630" s="19"/>
      <c r="H630" s="23"/>
      <c r="I630" s="4"/>
      <c r="J630" s="14"/>
    </row>
    <row r="631" spans="6:10" ht="12.75">
      <c r="F631" s="17"/>
      <c r="G631" s="19"/>
      <c r="H631" s="23"/>
      <c r="I631" s="4"/>
      <c r="J631" s="14"/>
    </row>
    <row r="632" spans="6:10" ht="12.75">
      <c r="F632" s="17"/>
      <c r="G632" s="19"/>
      <c r="H632" s="23"/>
      <c r="I632" s="4"/>
      <c r="J632" s="14"/>
    </row>
    <row r="633" spans="6:10" ht="12.75">
      <c r="F633" s="17"/>
      <c r="G633" s="19"/>
      <c r="H633" s="23"/>
      <c r="I633" s="4"/>
      <c r="J633" s="14"/>
    </row>
    <row r="634" spans="6:10" ht="12.75">
      <c r="F634" s="17"/>
      <c r="G634" s="19"/>
      <c r="H634" s="23"/>
      <c r="I634" s="4"/>
      <c r="J634" s="14"/>
    </row>
    <row r="635" spans="6:10" ht="12.75">
      <c r="F635" s="17"/>
      <c r="G635" s="19"/>
      <c r="H635" s="23"/>
      <c r="I635" s="4"/>
      <c r="J635" s="14"/>
    </row>
    <row r="636" spans="6:10" ht="12.75">
      <c r="F636" s="17"/>
      <c r="G636" s="19"/>
      <c r="H636" s="23"/>
      <c r="I636" s="4"/>
      <c r="J636" s="14"/>
    </row>
    <row r="637" spans="6:10" ht="12.75">
      <c r="F637" s="17"/>
      <c r="G637" s="19"/>
      <c r="H637" s="23"/>
      <c r="I637" s="4"/>
      <c r="J637" s="14"/>
    </row>
    <row r="638" spans="6:10" ht="12.75">
      <c r="F638" s="17"/>
      <c r="G638" s="19"/>
      <c r="H638" s="23"/>
      <c r="I638" s="4"/>
      <c r="J638" s="14"/>
    </row>
    <row r="639" spans="6:10" ht="12.75">
      <c r="F639" s="17"/>
      <c r="G639" s="19"/>
      <c r="H639" s="23"/>
      <c r="I639" s="4"/>
      <c r="J639" s="14"/>
    </row>
    <row r="640" spans="6:10" ht="12.75">
      <c r="F640" s="17"/>
      <c r="G640" s="19"/>
      <c r="H640" s="23"/>
      <c r="I640" s="4"/>
      <c r="J640" s="14"/>
    </row>
    <row r="641" spans="6:10" ht="12.75">
      <c r="F641" s="17"/>
      <c r="G641" s="19"/>
      <c r="H641" s="23"/>
      <c r="I641" s="4"/>
      <c r="J641" s="14"/>
    </row>
    <row r="642" spans="6:10" ht="12.75">
      <c r="F642" s="17"/>
      <c r="G642" s="19"/>
      <c r="H642" s="23"/>
      <c r="I642" s="4"/>
      <c r="J642" s="14"/>
    </row>
    <row r="643" spans="6:10" ht="12.75">
      <c r="F643" s="17"/>
      <c r="G643" s="19"/>
      <c r="H643" s="23"/>
      <c r="I643" s="4"/>
      <c r="J643" s="14"/>
    </row>
    <row r="644" spans="6:10" ht="12.75">
      <c r="F644" s="17"/>
      <c r="G644" s="19"/>
      <c r="H644" s="23"/>
      <c r="I644" s="4"/>
      <c r="J644" s="14"/>
    </row>
    <row r="645" spans="6:10" ht="12.75">
      <c r="F645" s="17"/>
      <c r="G645" s="19"/>
      <c r="H645" s="23"/>
      <c r="I645" s="4"/>
      <c r="J645" s="14"/>
    </row>
    <row r="646" spans="6:10" ht="12.75">
      <c r="F646" s="17"/>
      <c r="G646" s="19"/>
      <c r="H646" s="23"/>
      <c r="I646" s="4"/>
      <c r="J646" s="14"/>
    </row>
    <row r="647" spans="6:10" ht="12.75">
      <c r="F647" s="17"/>
      <c r="G647" s="19"/>
      <c r="H647" s="23"/>
      <c r="I647" s="4"/>
      <c r="J647" s="14"/>
    </row>
    <row r="648" spans="6:10" ht="12.75">
      <c r="F648" s="17"/>
      <c r="G648" s="19"/>
      <c r="H648" s="23"/>
      <c r="I648" s="4"/>
      <c r="J648" s="14"/>
    </row>
    <row r="649" spans="6:10" ht="12.75">
      <c r="F649" s="17"/>
      <c r="G649" s="19"/>
      <c r="H649" s="23"/>
      <c r="I649" s="4"/>
      <c r="J649" s="14"/>
    </row>
    <row r="650" spans="6:10" ht="12.75">
      <c r="F650" s="17"/>
      <c r="G650" s="19"/>
      <c r="H650" s="23"/>
      <c r="I650" s="4"/>
      <c r="J650" s="14"/>
    </row>
    <row r="651" spans="6:10" ht="12.75">
      <c r="F651" s="17"/>
      <c r="G651" s="19"/>
      <c r="H651" s="23"/>
      <c r="I651" s="4"/>
      <c r="J651" s="14"/>
    </row>
    <row r="652" spans="6:10" ht="12.75">
      <c r="F652" s="17"/>
      <c r="G652" s="19"/>
      <c r="H652" s="23"/>
      <c r="I652" s="4"/>
      <c r="J652" s="14"/>
    </row>
    <row r="653" spans="6:10" ht="12.75">
      <c r="F653" s="17"/>
      <c r="G653" s="19"/>
      <c r="H653" s="23"/>
      <c r="I653" s="4"/>
      <c r="J653" s="14"/>
    </row>
    <row r="654" spans="6:10" ht="12.75">
      <c r="F654" s="17"/>
      <c r="G654" s="19"/>
      <c r="H654" s="23"/>
      <c r="I654" s="4"/>
      <c r="J654" s="14"/>
    </row>
    <row r="655" spans="6:10" ht="12.75">
      <c r="F655" s="17"/>
      <c r="G655" s="19"/>
      <c r="H655" s="23"/>
      <c r="I655" s="4"/>
      <c r="J655" s="14"/>
    </row>
    <row r="656" spans="6:10" ht="12.75">
      <c r="F656" s="17"/>
      <c r="G656" s="19"/>
      <c r="H656" s="23"/>
      <c r="I656" s="4"/>
      <c r="J656" s="14"/>
    </row>
    <row r="657" spans="6:10" ht="12.75">
      <c r="F657" s="17"/>
      <c r="G657" s="19"/>
      <c r="H657" s="23"/>
      <c r="I657" s="4"/>
      <c r="J657" s="14"/>
    </row>
    <row r="658" spans="6:10" ht="12.75">
      <c r="F658" s="17"/>
      <c r="G658" s="19"/>
      <c r="H658" s="23"/>
      <c r="I658" s="4"/>
      <c r="J658" s="14"/>
    </row>
    <row r="659" spans="6:10" ht="12.75">
      <c r="F659" s="17"/>
      <c r="G659" s="19"/>
      <c r="H659" s="23"/>
      <c r="I659" s="4"/>
      <c r="J659" s="14"/>
    </row>
    <row r="660" spans="6:10" ht="12.75">
      <c r="F660" s="17"/>
      <c r="G660" s="19"/>
      <c r="H660" s="23"/>
      <c r="I660" s="4"/>
      <c r="J660" s="14"/>
    </row>
    <row r="661" spans="6:10" ht="12.75">
      <c r="F661" s="17"/>
      <c r="G661" s="19"/>
      <c r="H661" s="23"/>
      <c r="I661" s="4"/>
      <c r="J661" s="14"/>
    </row>
    <row r="662" spans="6:10" ht="12.75">
      <c r="F662" s="17"/>
      <c r="G662" s="19"/>
      <c r="H662" s="23"/>
      <c r="I662" s="4"/>
      <c r="J662" s="14"/>
    </row>
    <row r="663" spans="6:10" ht="12.75">
      <c r="F663" s="17"/>
      <c r="G663" s="19"/>
      <c r="H663" s="23"/>
      <c r="I663" s="4"/>
      <c r="J663" s="14"/>
    </row>
    <row r="664" spans="6:10" ht="12.75">
      <c r="F664" s="17"/>
      <c r="G664" s="19"/>
      <c r="H664" s="23"/>
      <c r="I664" s="4"/>
      <c r="J664" s="14"/>
    </row>
    <row r="665" spans="6:10" ht="12.75">
      <c r="F665" s="17"/>
      <c r="G665" s="19"/>
      <c r="H665" s="23"/>
      <c r="I665" s="4"/>
      <c r="J665" s="14"/>
    </row>
    <row r="666" spans="6:10" ht="12.75">
      <c r="F666" s="17"/>
      <c r="G666" s="19"/>
      <c r="H666" s="23"/>
      <c r="I666" s="4"/>
      <c r="J666" s="14"/>
    </row>
    <row r="667" spans="6:10" ht="12.75">
      <c r="F667" s="17"/>
      <c r="G667" s="19"/>
      <c r="H667" s="23"/>
      <c r="I667" s="4"/>
      <c r="J667" s="14"/>
    </row>
    <row r="668" spans="6:10" ht="12.75">
      <c r="F668" s="17"/>
      <c r="G668" s="19"/>
      <c r="H668" s="23"/>
      <c r="I668" s="4"/>
      <c r="J668" s="14"/>
    </row>
    <row r="669" spans="6:10" ht="12.75">
      <c r="F669" s="17"/>
      <c r="G669" s="19"/>
      <c r="H669" s="23"/>
      <c r="I669" s="4"/>
      <c r="J669" s="14"/>
    </row>
    <row r="670" spans="6:10" ht="12.75">
      <c r="F670" s="17"/>
      <c r="G670" s="19"/>
      <c r="H670" s="23"/>
      <c r="I670" s="4"/>
      <c r="J670" s="14"/>
    </row>
    <row r="671" spans="6:10" ht="12.75">
      <c r="F671" s="17"/>
      <c r="G671" s="19"/>
      <c r="H671" s="23"/>
      <c r="I671" s="4"/>
      <c r="J671" s="14"/>
    </row>
    <row r="672" spans="6:10" ht="12.75">
      <c r="F672" s="17"/>
      <c r="G672" s="19"/>
      <c r="H672" s="23"/>
      <c r="I672" s="4"/>
      <c r="J672" s="14"/>
    </row>
    <row r="673" spans="6:10" ht="12.75">
      <c r="F673" s="17"/>
      <c r="G673" s="19"/>
      <c r="H673" s="23"/>
      <c r="I673" s="4"/>
      <c r="J673" s="14"/>
    </row>
    <row r="674" spans="6:10" ht="12.75">
      <c r="F674" s="17"/>
      <c r="G674" s="19"/>
      <c r="H674" s="23"/>
      <c r="I674" s="4"/>
      <c r="J674" s="14"/>
    </row>
    <row r="675" spans="6:10" ht="12.75">
      <c r="F675" s="17"/>
      <c r="G675" s="19"/>
      <c r="H675" s="23"/>
      <c r="I675" s="4"/>
      <c r="J675" s="14"/>
    </row>
    <row r="676" spans="6:10" ht="12.75">
      <c r="F676" s="17"/>
      <c r="G676" s="19"/>
      <c r="H676" s="23"/>
      <c r="I676" s="4"/>
      <c r="J676" s="14"/>
    </row>
    <row r="677" spans="6:10" ht="12.75">
      <c r="F677" s="17"/>
      <c r="G677" s="19"/>
      <c r="H677" s="23"/>
      <c r="I677" s="4"/>
      <c r="J677" s="14"/>
    </row>
    <row r="678" spans="6:10" ht="12.75">
      <c r="F678" s="17"/>
      <c r="G678" s="19"/>
      <c r="H678" s="23"/>
      <c r="I678" s="4"/>
      <c r="J678" s="14"/>
    </row>
    <row r="679" spans="6:10" ht="12.75">
      <c r="F679" s="17"/>
      <c r="G679" s="19"/>
      <c r="H679" s="23"/>
      <c r="I679" s="4"/>
      <c r="J679" s="14"/>
    </row>
    <row r="680" spans="6:10" ht="12.75">
      <c r="F680" s="17"/>
      <c r="G680" s="19"/>
      <c r="H680" s="23"/>
      <c r="I680" s="4"/>
      <c r="J680" s="14"/>
    </row>
    <row r="681" spans="6:10" ht="12.75">
      <c r="F681" s="17"/>
      <c r="G681" s="19"/>
      <c r="H681" s="23"/>
      <c r="I681" s="4"/>
      <c r="J681" s="14"/>
    </row>
    <row r="682" spans="6:10" ht="12.75">
      <c r="F682" s="17"/>
      <c r="G682" s="19"/>
      <c r="H682" s="23"/>
      <c r="I682" s="4"/>
      <c r="J682" s="14"/>
    </row>
    <row r="683" spans="6:10" ht="12.75">
      <c r="F683" s="17"/>
      <c r="G683" s="19"/>
      <c r="H683" s="23"/>
      <c r="I683" s="4"/>
      <c r="J683" s="14"/>
    </row>
    <row r="684" spans="6:10" ht="12.75">
      <c r="F684" s="17"/>
      <c r="G684" s="19"/>
      <c r="H684" s="23"/>
      <c r="I684" s="4"/>
      <c r="J684" s="14"/>
    </row>
    <row r="685" spans="6:10" ht="12.75">
      <c r="F685" s="17"/>
      <c r="G685" s="19"/>
      <c r="H685" s="23"/>
      <c r="I685" s="4"/>
      <c r="J685" s="14"/>
    </row>
    <row r="686" spans="6:10" ht="12.75">
      <c r="F686" s="17"/>
      <c r="G686" s="19"/>
      <c r="H686" s="23"/>
      <c r="I686" s="4"/>
      <c r="J686" s="14"/>
    </row>
    <row r="687" spans="6:10" ht="12.75">
      <c r="F687" s="17"/>
      <c r="G687" s="19"/>
      <c r="H687" s="23"/>
      <c r="I687" s="4"/>
      <c r="J687" s="14"/>
    </row>
    <row r="688" spans="6:10" ht="12.75">
      <c r="F688" s="17"/>
      <c r="G688" s="19"/>
      <c r="H688" s="23"/>
      <c r="I688" s="4"/>
      <c r="J688" s="14"/>
    </row>
    <row r="689" spans="6:10" ht="12.75">
      <c r="F689" s="17"/>
      <c r="G689" s="19"/>
      <c r="H689" s="23"/>
      <c r="I689" s="4"/>
      <c r="J689" s="14"/>
    </row>
    <row r="690" spans="6:10" ht="12.75">
      <c r="F690" s="17"/>
      <c r="G690" s="19"/>
      <c r="H690" s="23"/>
      <c r="I690" s="4"/>
      <c r="J690" s="14"/>
    </row>
    <row r="691" spans="6:10" ht="12.75">
      <c r="F691" s="17"/>
      <c r="G691" s="19"/>
      <c r="H691" s="23"/>
      <c r="I691" s="4"/>
      <c r="J691" s="14"/>
    </row>
    <row r="692" spans="6:10" ht="12.75">
      <c r="F692" s="17"/>
      <c r="G692" s="19"/>
      <c r="H692" s="23"/>
      <c r="I692" s="4"/>
      <c r="J692" s="14"/>
    </row>
    <row r="693" spans="6:10" ht="12.75">
      <c r="F693" s="17"/>
      <c r="G693" s="19"/>
      <c r="H693" s="23"/>
      <c r="I693" s="4"/>
      <c r="J693" s="14"/>
    </row>
    <row r="694" spans="6:10" ht="12.75">
      <c r="F694" s="17"/>
      <c r="G694" s="19"/>
      <c r="H694" s="23"/>
      <c r="I694" s="4"/>
      <c r="J694" s="14"/>
    </row>
    <row r="695" spans="6:10" ht="12.75">
      <c r="F695" s="17"/>
      <c r="G695" s="19"/>
      <c r="H695" s="23"/>
      <c r="I695" s="4"/>
      <c r="J695" s="14"/>
    </row>
    <row r="696" spans="6:10" ht="12.75">
      <c r="F696" s="17"/>
      <c r="G696" s="19"/>
      <c r="H696" s="23"/>
      <c r="I696" s="4"/>
      <c r="J696" s="14"/>
    </row>
    <row r="697" spans="6:10" ht="12.75">
      <c r="F697" s="17"/>
      <c r="G697" s="19"/>
      <c r="H697" s="23"/>
      <c r="I697" s="4"/>
      <c r="J697" s="14"/>
    </row>
    <row r="698" spans="6:10" ht="12.75">
      <c r="F698" s="17"/>
      <c r="G698" s="19"/>
      <c r="H698" s="23"/>
      <c r="I698" s="4"/>
      <c r="J698" s="14"/>
    </row>
    <row r="699" spans="6:10" ht="12.75">
      <c r="F699" s="17"/>
      <c r="G699" s="19"/>
      <c r="H699" s="23"/>
      <c r="I699" s="4"/>
      <c r="J699" s="14"/>
    </row>
    <row r="700" spans="6:10" ht="12.75">
      <c r="F700" s="17"/>
      <c r="G700" s="19"/>
      <c r="H700" s="23"/>
      <c r="I700" s="4"/>
      <c r="J700" s="14"/>
    </row>
    <row r="701" spans="6:10" ht="12.75">
      <c r="F701" s="17"/>
      <c r="G701" s="19"/>
      <c r="H701" s="23"/>
      <c r="I701" s="4"/>
      <c r="J701" s="14"/>
    </row>
    <row r="702" spans="6:10" ht="12.75">
      <c r="F702" s="17"/>
      <c r="G702" s="19"/>
      <c r="H702" s="23"/>
      <c r="I702" s="4"/>
      <c r="J702" s="14"/>
    </row>
    <row r="703" spans="6:10" ht="12.75">
      <c r="F703" s="17"/>
      <c r="G703" s="19"/>
      <c r="H703" s="23"/>
      <c r="I703" s="4"/>
      <c r="J703" s="14"/>
    </row>
    <row r="704" spans="6:10" ht="12.75">
      <c r="F704" s="17"/>
      <c r="G704" s="19"/>
      <c r="H704" s="23"/>
      <c r="I704" s="4"/>
      <c r="J704" s="14"/>
    </row>
    <row r="705" spans="6:10" ht="12.75">
      <c r="F705" s="17"/>
      <c r="G705" s="19"/>
      <c r="H705" s="23"/>
      <c r="I705" s="4"/>
      <c r="J705" s="14"/>
    </row>
    <row r="706" spans="6:10" ht="12.75">
      <c r="F706" s="17"/>
      <c r="G706" s="19"/>
      <c r="H706" s="23"/>
      <c r="I706" s="4"/>
      <c r="J706" s="14"/>
    </row>
    <row r="707" spans="6:10" ht="12.75">
      <c r="F707" s="17"/>
      <c r="G707" s="19"/>
      <c r="H707" s="23"/>
      <c r="I707" s="4"/>
      <c r="J707" s="14"/>
    </row>
    <row r="708" spans="6:10" ht="12.75">
      <c r="F708" s="17"/>
      <c r="G708" s="19"/>
      <c r="H708" s="23"/>
      <c r="I708" s="4"/>
      <c r="J708" s="14"/>
    </row>
    <row r="709" spans="6:10" ht="12.75">
      <c r="F709" s="17"/>
      <c r="G709" s="19"/>
      <c r="H709" s="23"/>
      <c r="I709" s="4"/>
      <c r="J709" s="14"/>
    </row>
    <row r="710" spans="6:10" ht="12.75">
      <c r="F710" s="17"/>
      <c r="G710" s="19"/>
      <c r="H710" s="23"/>
      <c r="I710" s="4"/>
      <c r="J710" s="14"/>
    </row>
    <row r="711" spans="6:10" ht="12.75">
      <c r="F711" s="17"/>
      <c r="G711" s="19"/>
      <c r="H711" s="23"/>
      <c r="I711" s="4"/>
      <c r="J711" s="14"/>
    </row>
    <row r="712" spans="6:10" ht="12.75">
      <c r="F712" s="17"/>
      <c r="G712" s="19"/>
      <c r="H712" s="23"/>
      <c r="I712" s="4"/>
      <c r="J712" s="14"/>
    </row>
    <row r="713" spans="6:10" ht="12.75">
      <c r="F713" s="17"/>
      <c r="G713" s="19"/>
      <c r="H713" s="23"/>
      <c r="I713" s="4"/>
      <c r="J713" s="14"/>
    </row>
    <row r="714" spans="6:10" ht="12.75">
      <c r="F714" s="17"/>
      <c r="G714" s="19"/>
      <c r="H714" s="23"/>
      <c r="I714" s="4"/>
      <c r="J714" s="14"/>
    </row>
    <row r="715" spans="6:10" ht="12.75">
      <c r="F715" s="17"/>
      <c r="G715" s="19"/>
      <c r="H715" s="23"/>
      <c r="I715" s="4"/>
      <c r="J715" s="14"/>
    </row>
    <row r="716" spans="6:10" ht="12.75">
      <c r="F716" s="17"/>
      <c r="G716" s="19"/>
      <c r="H716" s="23"/>
      <c r="I716" s="4"/>
      <c r="J716" s="14"/>
    </row>
    <row r="717" spans="6:10" ht="12.75">
      <c r="F717" s="17"/>
      <c r="G717" s="19"/>
      <c r="H717" s="23"/>
      <c r="I717" s="4"/>
      <c r="J717" s="14"/>
    </row>
    <row r="718" spans="6:10" ht="12.75">
      <c r="F718" s="17"/>
      <c r="G718" s="19"/>
      <c r="H718" s="23"/>
      <c r="I718" s="4"/>
      <c r="J718" s="14"/>
    </row>
    <row r="719" spans="6:10" ht="12.75">
      <c r="F719" s="17"/>
      <c r="G719" s="19"/>
      <c r="H719" s="23"/>
      <c r="I719" s="4"/>
      <c r="J719" s="14"/>
    </row>
    <row r="720" spans="6:10" ht="12.75">
      <c r="F720" s="17"/>
      <c r="G720" s="19"/>
      <c r="H720" s="23"/>
      <c r="I720" s="4"/>
      <c r="J720" s="14"/>
    </row>
    <row r="721" spans="6:10" ht="12.75">
      <c r="F721" s="17"/>
      <c r="G721" s="19"/>
      <c r="H721" s="23"/>
      <c r="I721" s="4"/>
      <c r="J721" s="14"/>
    </row>
    <row r="722" spans="6:10" ht="12.75">
      <c r="F722" s="17"/>
      <c r="G722" s="19"/>
      <c r="H722" s="23"/>
      <c r="I722" s="4"/>
      <c r="J722" s="14"/>
    </row>
    <row r="723" spans="6:10" ht="12.75">
      <c r="F723" s="17"/>
      <c r="G723" s="19"/>
      <c r="H723" s="23"/>
      <c r="I723" s="4"/>
      <c r="J723" s="14"/>
    </row>
    <row r="724" spans="6:10" ht="12.75">
      <c r="F724" s="17"/>
      <c r="G724" s="19"/>
      <c r="H724" s="23"/>
      <c r="I724" s="4"/>
      <c r="J724" s="14"/>
    </row>
    <row r="725" spans="6:10" ht="12.75">
      <c r="F725" s="17"/>
      <c r="G725" s="19"/>
      <c r="H725" s="23"/>
      <c r="I725" s="4"/>
      <c r="J725" s="14"/>
    </row>
    <row r="726" spans="6:10" ht="12.75">
      <c r="F726" s="17"/>
      <c r="G726" s="19"/>
      <c r="H726" s="23"/>
      <c r="I726" s="4"/>
      <c r="J726" s="14"/>
    </row>
    <row r="727" spans="6:10" ht="12.75">
      <c r="F727" s="17"/>
      <c r="G727" s="19"/>
      <c r="H727" s="23"/>
      <c r="I727" s="4"/>
      <c r="J727" s="14"/>
    </row>
    <row r="728" spans="6:10" ht="12.75">
      <c r="F728" s="17"/>
      <c r="G728" s="19"/>
      <c r="H728" s="23"/>
      <c r="I728" s="4"/>
      <c r="J728" s="14"/>
    </row>
    <row r="729" spans="6:10" ht="12.75">
      <c r="F729" s="17"/>
      <c r="G729" s="19"/>
      <c r="H729" s="23"/>
      <c r="I729" s="4"/>
      <c r="J729" s="14"/>
    </row>
    <row r="730" spans="6:10" ht="12.75">
      <c r="F730" s="17"/>
      <c r="G730" s="19"/>
      <c r="H730" s="23"/>
      <c r="I730" s="4"/>
      <c r="J730" s="14"/>
    </row>
    <row r="731" spans="6:10" ht="12.75">
      <c r="F731" s="17"/>
      <c r="G731" s="19"/>
      <c r="H731" s="23"/>
      <c r="I731" s="4"/>
      <c r="J731" s="14"/>
    </row>
    <row r="732" spans="6:10" ht="12.75">
      <c r="F732" s="17"/>
      <c r="G732" s="19"/>
      <c r="H732" s="23"/>
      <c r="I732" s="4"/>
      <c r="J732" s="14"/>
    </row>
    <row r="733" spans="6:10" ht="12.75">
      <c r="F733" s="17"/>
      <c r="G733" s="19"/>
      <c r="H733" s="23"/>
      <c r="I733" s="4"/>
      <c r="J733" s="14"/>
    </row>
    <row r="734" spans="6:10" ht="12.75">
      <c r="F734" s="17"/>
      <c r="G734" s="19"/>
      <c r="H734" s="23"/>
      <c r="I734" s="4"/>
      <c r="J734" s="14"/>
    </row>
    <row r="735" spans="6:10" ht="12.75">
      <c r="F735" s="17"/>
      <c r="G735" s="19"/>
      <c r="H735" s="23"/>
      <c r="I735" s="4"/>
      <c r="J735" s="14"/>
    </row>
    <row r="736" spans="6:10" ht="12.75">
      <c r="F736" s="17"/>
      <c r="G736" s="19"/>
      <c r="H736" s="23"/>
      <c r="I736" s="4"/>
      <c r="J736" s="14"/>
    </row>
    <row r="737" spans="6:10" ht="12.75">
      <c r="F737" s="17"/>
      <c r="G737" s="19"/>
      <c r="H737" s="23"/>
      <c r="I737" s="4"/>
      <c r="J737" s="14"/>
    </row>
    <row r="738" spans="6:10" ht="12.75">
      <c r="F738" s="17"/>
      <c r="G738" s="19"/>
      <c r="H738" s="23"/>
      <c r="I738" s="4"/>
      <c r="J738" s="14"/>
    </row>
    <row r="739" spans="6:10" ht="12.75">
      <c r="F739" s="17"/>
      <c r="G739" s="19"/>
      <c r="H739" s="23"/>
      <c r="I739" s="4"/>
      <c r="J739" s="14"/>
    </row>
    <row r="740" spans="6:10" ht="12.75">
      <c r="F740" s="17"/>
      <c r="G740" s="19"/>
      <c r="H740" s="23"/>
      <c r="I740" s="4"/>
      <c r="J740" s="14"/>
    </row>
    <row r="741" spans="6:10" ht="12.75">
      <c r="F741" s="17"/>
      <c r="G741" s="19"/>
      <c r="H741" s="23"/>
      <c r="I741" s="4"/>
      <c r="J741" s="14"/>
    </row>
    <row r="742" spans="6:10" ht="12.75">
      <c r="F742" s="17"/>
      <c r="G742" s="19"/>
      <c r="H742" s="23"/>
      <c r="I742" s="4"/>
      <c r="J742" s="14"/>
    </row>
    <row r="743" spans="6:10" ht="12.75">
      <c r="F743" s="17"/>
      <c r="G743" s="19"/>
      <c r="H743" s="23"/>
      <c r="I743" s="4"/>
      <c r="J743" s="14"/>
    </row>
    <row r="744" spans="6:10" ht="12.75">
      <c r="F744" s="17"/>
      <c r="G744" s="19"/>
      <c r="H744" s="23"/>
      <c r="I744" s="4"/>
      <c r="J744" s="14"/>
    </row>
    <row r="745" spans="6:10" ht="12.75">
      <c r="F745" s="17"/>
      <c r="G745" s="19"/>
      <c r="H745" s="23"/>
      <c r="I745" s="4"/>
      <c r="J745" s="14"/>
    </row>
    <row r="746" spans="6:10" ht="12.75">
      <c r="F746" s="17"/>
      <c r="G746" s="19"/>
      <c r="H746" s="23"/>
      <c r="I746" s="4"/>
      <c r="J746" s="14"/>
    </row>
    <row r="747" spans="6:10" ht="12.75">
      <c r="F747" s="17"/>
      <c r="G747" s="19"/>
      <c r="H747" s="23"/>
      <c r="I747" s="4"/>
      <c r="J747" s="14"/>
    </row>
    <row r="748" spans="6:10" ht="12.75">
      <c r="F748" s="17"/>
      <c r="G748" s="19"/>
      <c r="H748" s="23"/>
      <c r="I748" s="4"/>
      <c r="J748" s="14"/>
    </row>
    <row r="749" spans="6:10" ht="12.75">
      <c r="F749" s="17"/>
      <c r="G749" s="19"/>
      <c r="H749" s="23"/>
      <c r="I749" s="4"/>
      <c r="J749" s="14"/>
    </row>
    <row r="750" spans="6:10" ht="12.75">
      <c r="F750" s="17"/>
      <c r="G750" s="19"/>
      <c r="H750" s="23"/>
      <c r="I750" s="4"/>
      <c r="J750" s="14"/>
    </row>
    <row r="751" spans="6:10" ht="12.75">
      <c r="F751" s="17"/>
      <c r="G751" s="19"/>
      <c r="H751" s="23"/>
      <c r="I751" s="4"/>
      <c r="J751" s="14"/>
    </row>
    <row r="752" spans="6:10" ht="12.75">
      <c r="F752" s="17"/>
      <c r="G752" s="19"/>
      <c r="H752" s="23"/>
      <c r="I752" s="4"/>
      <c r="J752" s="14"/>
    </row>
    <row r="753" spans="6:10" ht="12.75">
      <c r="F753" s="17"/>
      <c r="G753" s="19"/>
      <c r="H753" s="23"/>
      <c r="I753" s="4"/>
      <c r="J753" s="14"/>
    </row>
    <row r="754" spans="6:10" ht="12.75">
      <c r="F754" s="17"/>
      <c r="G754" s="19"/>
      <c r="H754" s="23"/>
      <c r="I754" s="4"/>
      <c r="J754" s="14"/>
    </row>
    <row r="755" spans="6:10" ht="12.75">
      <c r="F755" s="17"/>
      <c r="G755" s="19"/>
      <c r="H755" s="23"/>
      <c r="I755" s="4"/>
      <c r="J755" s="14"/>
    </row>
    <row r="756" spans="6:10" ht="12.75">
      <c r="F756" s="17"/>
      <c r="G756" s="19"/>
      <c r="H756" s="23"/>
      <c r="I756" s="4"/>
      <c r="J756" s="14"/>
    </row>
    <row r="757" spans="6:10" ht="12.75">
      <c r="F757" s="17"/>
      <c r="G757" s="19"/>
      <c r="H757" s="23"/>
      <c r="I757" s="4"/>
      <c r="J757" s="14"/>
    </row>
    <row r="758" spans="6:10" ht="12.75">
      <c r="F758" s="17"/>
      <c r="G758" s="19"/>
      <c r="H758" s="23"/>
      <c r="I758" s="4"/>
      <c r="J758" s="14"/>
    </row>
    <row r="759" spans="6:10" ht="12.75">
      <c r="F759" s="17"/>
      <c r="G759" s="19"/>
      <c r="H759" s="23"/>
      <c r="I759" s="4"/>
      <c r="J759" s="14"/>
    </row>
    <row r="760" spans="6:10" ht="12.75">
      <c r="F760" s="17"/>
      <c r="G760" s="19"/>
      <c r="H760" s="23"/>
      <c r="I760" s="4"/>
      <c r="J760" s="14"/>
    </row>
    <row r="761" spans="6:10" ht="12.75">
      <c r="F761" s="17"/>
      <c r="G761" s="19"/>
      <c r="H761" s="23"/>
      <c r="I761" s="4"/>
      <c r="J761" s="14"/>
    </row>
    <row r="762" spans="6:10" ht="12.75">
      <c r="F762" s="17"/>
      <c r="G762" s="19"/>
      <c r="H762" s="23"/>
      <c r="I762" s="4"/>
      <c r="J762" s="14"/>
    </row>
    <row r="763" spans="6:10" ht="12.75">
      <c r="F763" s="17"/>
      <c r="G763" s="19"/>
      <c r="H763" s="23"/>
      <c r="I763" s="4"/>
      <c r="J763" s="14"/>
    </row>
    <row r="764" spans="6:10" ht="12.75">
      <c r="F764" s="17"/>
      <c r="G764" s="19"/>
      <c r="H764" s="23"/>
      <c r="I764" s="4"/>
      <c r="J764" s="14"/>
    </row>
    <row r="765" spans="6:10" ht="12.75">
      <c r="F765" s="17"/>
      <c r="G765" s="19"/>
      <c r="H765" s="23"/>
      <c r="I765" s="4"/>
      <c r="J765" s="14"/>
    </row>
    <row r="766" spans="6:10" ht="12.75">
      <c r="F766" s="17"/>
      <c r="G766" s="19"/>
      <c r="H766" s="23"/>
      <c r="I766" s="4"/>
      <c r="J766" s="14"/>
    </row>
    <row r="767" spans="6:10" ht="12.75">
      <c r="F767" s="17"/>
      <c r="G767" s="19"/>
      <c r="H767" s="23"/>
      <c r="I767" s="4"/>
      <c r="J767" s="14"/>
    </row>
    <row r="768" spans="6:10" ht="12.75">
      <c r="F768" s="17"/>
      <c r="G768" s="19"/>
      <c r="H768" s="23"/>
      <c r="I768" s="4"/>
      <c r="J768" s="14"/>
    </row>
    <row r="769" spans="6:10" ht="12.75">
      <c r="F769" s="17"/>
      <c r="G769" s="19"/>
      <c r="H769" s="23"/>
      <c r="I769" s="4"/>
      <c r="J769" s="14"/>
    </row>
    <row r="770" spans="6:10" ht="12.75">
      <c r="F770" s="17"/>
      <c r="G770" s="19"/>
      <c r="H770" s="23"/>
      <c r="I770" s="4"/>
      <c r="J770" s="14"/>
    </row>
    <row r="771" spans="6:10" ht="12.75">
      <c r="F771" s="17"/>
      <c r="G771" s="19"/>
      <c r="H771" s="23"/>
      <c r="I771" s="4"/>
      <c r="J771" s="14"/>
    </row>
    <row r="772" spans="6:10" ht="12.75">
      <c r="F772" s="17"/>
      <c r="G772" s="19"/>
      <c r="H772" s="23"/>
      <c r="I772" s="4"/>
      <c r="J772" s="14"/>
    </row>
    <row r="773" spans="6:10" ht="12.75">
      <c r="F773" s="17"/>
      <c r="G773" s="19"/>
      <c r="H773" s="23"/>
      <c r="I773" s="4"/>
      <c r="J773" s="14"/>
    </row>
    <row r="774" spans="6:10" ht="12.75">
      <c r="F774" s="17"/>
      <c r="G774" s="19"/>
      <c r="H774" s="23"/>
      <c r="I774" s="4"/>
      <c r="J774" s="14"/>
    </row>
    <row r="775" spans="6:10" ht="12.75">
      <c r="F775" s="17"/>
      <c r="G775" s="19"/>
      <c r="H775" s="23"/>
      <c r="I775" s="4"/>
      <c r="J775" s="14"/>
    </row>
    <row r="776" spans="6:10" ht="12.75">
      <c r="F776" s="17"/>
      <c r="G776" s="19"/>
      <c r="H776" s="23"/>
      <c r="I776" s="4"/>
      <c r="J776" s="14"/>
    </row>
    <row r="777" spans="6:10" ht="12.75">
      <c r="F777" s="17"/>
      <c r="G777" s="19"/>
      <c r="H777" s="23"/>
      <c r="I777" s="4"/>
      <c r="J777" s="14"/>
    </row>
    <row r="778" spans="6:10" ht="12.75">
      <c r="F778" s="17"/>
      <c r="G778" s="19"/>
      <c r="H778" s="23"/>
      <c r="I778" s="4"/>
      <c r="J778" s="14"/>
    </row>
    <row r="779" spans="6:10" ht="12.75">
      <c r="F779" s="17"/>
      <c r="G779" s="19"/>
      <c r="H779" s="23"/>
      <c r="I779" s="4"/>
      <c r="J779" s="14"/>
    </row>
    <row r="780" spans="6:10" ht="12.75">
      <c r="F780" s="17"/>
      <c r="G780" s="19"/>
      <c r="H780" s="23"/>
      <c r="I780" s="4"/>
      <c r="J780" s="14"/>
    </row>
    <row r="781" spans="6:10" ht="12.75">
      <c r="F781" s="17"/>
      <c r="G781" s="19"/>
      <c r="H781" s="23"/>
      <c r="I781" s="4"/>
      <c r="J781" s="14"/>
    </row>
    <row r="782" spans="6:10" ht="12.75">
      <c r="F782" s="17"/>
      <c r="G782" s="19"/>
      <c r="H782" s="23"/>
      <c r="I782" s="4"/>
      <c r="J782" s="14"/>
    </row>
    <row r="783" spans="6:10" ht="12.75">
      <c r="F783" s="17"/>
      <c r="G783" s="19"/>
      <c r="H783" s="23"/>
      <c r="I783" s="4"/>
      <c r="J783" s="14"/>
    </row>
    <row r="784" spans="6:10" ht="12.75">
      <c r="F784" s="17"/>
      <c r="G784" s="19"/>
      <c r="H784" s="23"/>
      <c r="I784" s="4"/>
      <c r="J784" s="14"/>
    </row>
    <row r="785" spans="6:10" ht="12.75">
      <c r="F785" s="17"/>
      <c r="G785" s="19"/>
      <c r="H785" s="23"/>
      <c r="I785" s="4"/>
      <c r="J785" s="14"/>
    </row>
    <row r="786" spans="6:10" ht="12.75">
      <c r="F786" s="17"/>
      <c r="G786" s="19"/>
      <c r="H786" s="23"/>
      <c r="I786" s="4"/>
      <c r="J786" s="14"/>
    </row>
    <row r="787" spans="6:10" ht="12.75">
      <c r="F787" s="17"/>
      <c r="G787" s="19"/>
      <c r="H787" s="23"/>
      <c r="I787" s="4"/>
      <c r="J787" s="14"/>
    </row>
    <row r="788" spans="6:10" ht="12.75">
      <c r="F788" s="17"/>
      <c r="G788" s="19"/>
      <c r="H788" s="23"/>
      <c r="I788" s="4"/>
      <c r="J788" s="14"/>
    </row>
    <row r="789" spans="6:10" ht="12.75">
      <c r="F789" s="17"/>
      <c r="G789" s="19"/>
      <c r="H789" s="23"/>
      <c r="I789" s="4"/>
      <c r="J789" s="14"/>
    </row>
    <row r="790" spans="6:10" ht="12.75">
      <c r="F790" s="17"/>
      <c r="G790" s="19"/>
      <c r="H790" s="23"/>
      <c r="I790" s="4"/>
      <c r="J790" s="14"/>
    </row>
    <row r="791" spans="6:10" ht="12.75">
      <c r="F791" s="17"/>
      <c r="G791" s="19"/>
      <c r="H791" s="23"/>
      <c r="I791" s="4"/>
      <c r="J791" s="14"/>
    </row>
    <row r="792" spans="6:10" ht="12.75">
      <c r="F792" s="17"/>
      <c r="G792" s="19"/>
      <c r="H792" s="23"/>
      <c r="I792" s="4"/>
      <c r="J792" s="14"/>
    </row>
    <row r="793" spans="6:10" ht="12.75">
      <c r="F793" s="17"/>
      <c r="G793" s="19"/>
      <c r="H793" s="23"/>
      <c r="I793" s="4"/>
      <c r="J793" s="14"/>
    </row>
    <row r="794" spans="6:10" ht="12.75">
      <c r="F794" s="17"/>
      <c r="G794" s="19"/>
      <c r="H794" s="23"/>
      <c r="I794" s="4"/>
      <c r="J794" s="14"/>
    </row>
    <row r="795" spans="6:10" ht="12.75">
      <c r="F795" s="17"/>
      <c r="G795" s="19"/>
      <c r="H795" s="23"/>
      <c r="I795" s="4"/>
      <c r="J795" s="14"/>
    </row>
    <row r="796" spans="6:10" ht="12.75">
      <c r="F796" s="17"/>
      <c r="G796" s="19"/>
      <c r="H796" s="23"/>
      <c r="I796" s="4"/>
      <c r="J796" s="14"/>
    </row>
    <row r="797" spans="6:10" ht="12.75">
      <c r="F797" s="17"/>
      <c r="G797" s="19"/>
      <c r="H797" s="23"/>
      <c r="I797" s="4"/>
      <c r="J797" s="14"/>
    </row>
    <row r="798" spans="6:10" ht="12.75">
      <c r="F798" s="17"/>
      <c r="G798" s="19"/>
      <c r="H798" s="23"/>
      <c r="I798" s="4"/>
      <c r="J798" s="14"/>
    </row>
    <row r="799" spans="6:10" ht="12.75">
      <c r="F799" s="17"/>
      <c r="G799" s="19"/>
      <c r="H799" s="23"/>
      <c r="I799" s="4"/>
      <c r="J799" s="14"/>
    </row>
    <row r="800" spans="6:10" ht="12.75">
      <c r="F800" s="17"/>
      <c r="G800" s="19"/>
      <c r="H800" s="23"/>
      <c r="I800" s="4"/>
      <c r="J800" s="14"/>
    </row>
    <row r="801" spans="6:10" ht="12.75">
      <c r="F801" s="17"/>
      <c r="G801" s="19"/>
      <c r="H801" s="23"/>
      <c r="I801" s="4"/>
      <c r="J801" s="14"/>
    </row>
    <row r="802" spans="6:10" ht="12.75">
      <c r="F802" s="17"/>
      <c r="G802" s="19"/>
      <c r="H802" s="23"/>
      <c r="I802" s="4"/>
      <c r="J802" s="14"/>
    </row>
    <row r="803" spans="6:10" ht="12.75">
      <c r="F803" s="17"/>
      <c r="G803" s="19"/>
      <c r="H803" s="23"/>
      <c r="I803" s="4"/>
      <c r="J803" s="14"/>
    </row>
    <row r="804" spans="6:10" ht="12.75">
      <c r="F804" s="17"/>
      <c r="G804" s="19"/>
      <c r="H804" s="23"/>
      <c r="I804" s="4"/>
      <c r="J804" s="14"/>
    </row>
    <row r="805" spans="6:10" ht="12.75">
      <c r="F805" s="17"/>
      <c r="G805" s="19"/>
      <c r="H805" s="23"/>
      <c r="I805" s="4"/>
      <c r="J805" s="14"/>
    </row>
    <row r="806" spans="6:10" ht="12.75">
      <c r="F806" s="17"/>
      <c r="G806" s="19"/>
      <c r="H806" s="23"/>
      <c r="I806" s="4"/>
      <c r="J806" s="14"/>
    </row>
    <row r="807" spans="6:10" ht="12.75">
      <c r="F807" s="17"/>
      <c r="G807" s="19"/>
      <c r="H807" s="23"/>
      <c r="I807" s="4"/>
      <c r="J807" s="14"/>
    </row>
    <row r="808" spans="6:10" ht="12.75">
      <c r="F808" s="17"/>
      <c r="G808" s="19"/>
      <c r="H808" s="23"/>
      <c r="I808" s="4"/>
      <c r="J808" s="14"/>
    </row>
    <row r="809" spans="6:10" ht="12.75">
      <c r="F809" s="17"/>
      <c r="G809" s="19"/>
      <c r="H809" s="23"/>
      <c r="I809" s="4"/>
      <c r="J809" s="14"/>
    </row>
    <row r="810" spans="6:10" ht="12.75">
      <c r="F810" s="17"/>
      <c r="G810" s="19"/>
      <c r="H810" s="23"/>
      <c r="I810" s="4"/>
      <c r="J810" s="14"/>
    </row>
    <row r="811" spans="6:10" ht="12.75">
      <c r="F811" s="17"/>
      <c r="G811" s="19"/>
      <c r="H811" s="23"/>
      <c r="I811" s="4"/>
      <c r="J811" s="14"/>
    </row>
    <row r="812" spans="6:10" ht="12.75">
      <c r="F812" s="17"/>
      <c r="G812" s="19"/>
      <c r="H812" s="23"/>
      <c r="I812" s="4"/>
      <c r="J812" s="14"/>
    </row>
    <row r="813" spans="6:10" ht="12.75">
      <c r="F813" s="17"/>
      <c r="G813" s="19"/>
      <c r="H813" s="23"/>
      <c r="I813" s="4"/>
      <c r="J813" s="14"/>
    </row>
    <row r="814" spans="6:10" ht="12.75">
      <c r="F814" s="17"/>
      <c r="G814" s="19"/>
      <c r="H814" s="23"/>
      <c r="I814" s="4"/>
      <c r="J814" s="14"/>
    </row>
    <row r="815" spans="6:10" ht="12.75">
      <c r="F815" s="17"/>
      <c r="G815" s="19"/>
      <c r="H815" s="23"/>
      <c r="I815" s="4"/>
      <c r="J815" s="14"/>
    </row>
    <row r="816" spans="6:10" ht="12.75">
      <c r="F816" s="17"/>
      <c r="G816" s="19"/>
      <c r="H816" s="23"/>
      <c r="I816" s="4"/>
      <c r="J816" s="14"/>
    </row>
    <row r="817" spans="6:10" ht="12.75">
      <c r="F817" s="17"/>
      <c r="G817" s="19"/>
      <c r="H817" s="23"/>
      <c r="I817" s="4"/>
      <c r="J817" s="14"/>
    </row>
    <row r="818" spans="6:10" ht="12.75">
      <c r="F818" s="17"/>
      <c r="G818" s="19"/>
      <c r="H818" s="23"/>
      <c r="I818" s="4"/>
      <c r="J818" s="14"/>
    </row>
    <row r="819" spans="6:10" ht="12.75">
      <c r="F819" s="17"/>
      <c r="G819" s="19"/>
      <c r="H819" s="23"/>
      <c r="I819" s="4"/>
      <c r="J819" s="14"/>
    </row>
    <row r="820" spans="6:10" ht="12.75">
      <c r="F820" s="17"/>
      <c r="G820" s="19"/>
      <c r="H820" s="23"/>
      <c r="I820" s="4"/>
      <c r="J820" s="14"/>
    </row>
    <row r="821" spans="6:10" ht="12.75">
      <c r="F821" s="17"/>
      <c r="G821" s="19"/>
      <c r="H821" s="23"/>
      <c r="I821" s="4"/>
      <c r="J821" s="14"/>
    </row>
    <row r="822" spans="6:10" ht="12.75">
      <c r="F822" s="17"/>
      <c r="G822" s="19"/>
      <c r="H822" s="23"/>
      <c r="I822" s="4"/>
      <c r="J822" s="14"/>
    </row>
    <row r="823" spans="6:10" ht="12.75">
      <c r="F823" s="17"/>
      <c r="G823" s="19"/>
      <c r="H823" s="23"/>
      <c r="I823" s="4"/>
      <c r="J823" s="14"/>
    </row>
    <row r="824" spans="6:10" ht="12.75">
      <c r="F824" s="17"/>
      <c r="G824" s="19"/>
      <c r="H824" s="23"/>
      <c r="I824" s="4"/>
      <c r="J824" s="14"/>
    </row>
    <row r="825" spans="6:10" ht="12.75">
      <c r="F825" s="17"/>
      <c r="G825" s="19"/>
      <c r="H825" s="23"/>
      <c r="I825" s="4"/>
      <c r="J825" s="14"/>
    </row>
    <row r="826" spans="6:10" ht="12.75">
      <c r="F826" s="17"/>
      <c r="G826" s="19"/>
      <c r="H826" s="23"/>
      <c r="I826" s="4"/>
      <c r="J826" s="14"/>
    </row>
    <row r="827" spans="6:10" ht="12.75">
      <c r="F827" s="17"/>
      <c r="G827" s="19"/>
      <c r="H827" s="23"/>
      <c r="I827" s="4"/>
      <c r="J827" s="14"/>
    </row>
    <row r="828" spans="6:10" ht="12.75">
      <c r="F828" s="17"/>
      <c r="G828" s="19"/>
      <c r="H828" s="23"/>
      <c r="I828" s="4"/>
      <c r="J828" s="14"/>
    </row>
    <row r="829" spans="6:10" ht="12.75">
      <c r="F829" s="17"/>
      <c r="G829" s="19"/>
      <c r="H829" s="23"/>
      <c r="I829" s="4"/>
      <c r="J829" s="14"/>
    </row>
    <row r="830" spans="6:10" ht="12.75">
      <c r="F830" s="17"/>
      <c r="G830" s="19"/>
      <c r="H830" s="23"/>
      <c r="I830" s="4"/>
      <c r="J830" s="14"/>
    </row>
    <row r="831" spans="6:10" ht="12.75">
      <c r="F831" s="17"/>
      <c r="G831" s="19"/>
      <c r="H831" s="23"/>
      <c r="I831" s="4"/>
      <c r="J831" s="14"/>
    </row>
    <row r="832" spans="6:10" ht="12.75">
      <c r="F832" s="17"/>
      <c r="G832" s="19"/>
      <c r="H832" s="23"/>
      <c r="I832" s="4"/>
      <c r="J832" s="14"/>
    </row>
    <row r="833" spans="6:10" ht="12.75">
      <c r="F833" s="17"/>
      <c r="G833" s="19"/>
      <c r="H833" s="23"/>
      <c r="I833" s="4"/>
      <c r="J833" s="14"/>
    </row>
    <row r="834" spans="6:10" ht="12.75">
      <c r="F834" s="17"/>
      <c r="G834" s="19"/>
      <c r="H834" s="23"/>
      <c r="I834" s="4"/>
      <c r="J834" s="14"/>
    </row>
    <row r="835" spans="6:10" ht="12.75">
      <c r="F835" s="17"/>
      <c r="G835" s="19"/>
      <c r="H835" s="23"/>
      <c r="I835" s="4"/>
      <c r="J835" s="14"/>
    </row>
    <row r="836" spans="6:10" ht="12.75">
      <c r="F836" s="17"/>
      <c r="G836" s="19"/>
      <c r="H836" s="23"/>
      <c r="I836" s="4"/>
      <c r="J836" s="14"/>
    </row>
    <row r="837" spans="6:10" ht="12.75">
      <c r="F837" s="17"/>
      <c r="G837" s="19"/>
      <c r="H837" s="23"/>
      <c r="I837" s="4"/>
      <c r="J837" s="14"/>
    </row>
    <row r="838" spans="6:10" ht="12.75">
      <c r="F838" s="17"/>
      <c r="G838" s="19"/>
      <c r="H838" s="23"/>
      <c r="I838" s="4"/>
      <c r="J838" s="14"/>
    </row>
    <row r="839" spans="6:10" ht="12.75">
      <c r="F839" s="17"/>
      <c r="G839" s="19"/>
      <c r="H839" s="23"/>
      <c r="I839" s="4"/>
      <c r="J839" s="14"/>
    </row>
    <row r="840" spans="6:10" ht="12.75">
      <c r="F840" s="17"/>
      <c r="G840" s="19"/>
      <c r="H840" s="23"/>
      <c r="I840" s="4"/>
      <c r="J840" s="14"/>
    </row>
    <row r="841" spans="6:10" ht="12.75">
      <c r="F841" s="17"/>
      <c r="G841" s="19"/>
      <c r="H841" s="23"/>
      <c r="I841" s="4"/>
      <c r="J841" s="14"/>
    </row>
    <row r="842" spans="6:10" ht="12.75">
      <c r="F842" s="17"/>
      <c r="G842" s="19"/>
      <c r="H842" s="23"/>
      <c r="I842" s="4"/>
      <c r="J842" s="14"/>
    </row>
    <row r="843" spans="6:10" ht="12.75">
      <c r="F843" s="17"/>
      <c r="G843" s="19"/>
      <c r="H843" s="23"/>
      <c r="I843" s="4"/>
      <c r="J843" s="14"/>
    </row>
    <row r="844" spans="6:10" ht="12.75">
      <c r="F844" s="17"/>
      <c r="G844" s="19"/>
      <c r="H844" s="23"/>
      <c r="I844" s="4"/>
      <c r="J844" s="14"/>
    </row>
    <row r="845" spans="6:10" ht="12.75">
      <c r="F845" s="17"/>
      <c r="G845" s="19"/>
      <c r="H845" s="23"/>
      <c r="I845" s="4"/>
      <c r="J845" s="14"/>
    </row>
    <row r="846" spans="6:10" ht="12.75">
      <c r="F846" s="17"/>
      <c r="G846" s="19"/>
      <c r="H846" s="23"/>
      <c r="I846" s="4"/>
      <c r="J846" s="14"/>
    </row>
    <row r="847" spans="6:10" ht="12.75">
      <c r="F847" s="17"/>
      <c r="G847" s="19"/>
      <c r="H847" s="23"/>
      <c r="I847" s="4"/>
      <c r="J847" s="14"/>
    </row>
    <row r="848" spans="6:10" ht="12.75">
      <c r="F848" s="17"/>
      <c r="G848" s="19"/>
      <c r="H848" s="23"/>
      <c r="I848" s="4"/>
      <c r="J848" s="14"/>
    </row>
    <row r="849" spans="6:10" ht="12.75">
      <c r="F849" s="17"/>
      <c r="G849" s="19"/>
      <c r="H849" s="23"/>
      <c r="I849" s="4"/>
      <c r="J849" s="14"/>
    </row>
    <row r="850" spans="6:10" ht="12.75">
      <c r="F850" s="17"/>
      <c r="G850" s="19"/>
      <c r="H850" s="23"/>
      <c r="I850" s="4"/>
      <c r="J850" s="14"/>
    </row>
    <row r="851" spans="6:10" ht="12.75">
      <c r="F851" s="17"/>
      <c r="G851" s="19"/>
      <c r="H851" s="23"/>
      <c r="I851" s="4"/>
      <c r="J851" s="14"/>
    </row>
    <row r="852" spans="6:10" ht="12.75">
      <c r="F852" s="17"/>
      <c r="G852" s="19"/>
      <c r="H852" s="23"/>
      <c r="I852" s="4"/>
      <c r="J852" s="14"/>
    </row>
    <row r="853" spans="6:10" ht="12.75">
      <c r="F853" s="17"/>
      <c r="G853" s="19"/>
      <c r="H853" s="23"/>
      <c r="I853" s="4"/>
      <c r="J853" s="14"/>
    </row>
    <row r="854" spans="6:10" ht="12.75">
      <c r="F854" s="17"/>
      <c r="G854" s="19"/>
      <c r="H854" s="23"/>
      <c r="I854" s="4"/>
      <c r="J854" s="14"/>
    </row>
    <row r="855" spans="6:10" ht="12.75">
      <c r="F855" s="17"/>
      <c r="G855" s="19"/>
      <c r="H855" s="23"/>
      <c r="I855" s="4"/>
      <c r="J855" s="14"/>
    </row>
    <row r="856" spans="6:10" ht="12.75">
      <c r="F856" s="17"/>
      <c r="G856" s="19"/>
      <c r="H856" s="23"/>
      <c r="I856" s="4"/>
      <c r="J856" s="14"/>
    </row>
    <row r="857" spans="6:10" ht="12.75">
      <c r="F857" s="17"/>
      <c r="G857" s="19"/>
      <c r="H857" s="23"/>
      <c r="I857" s="4"/>
      <c r="J857" s="14"/>
    </row>
    <row r="858" spans="6:10" ht="12.75">
      <c r="F858" s="17"/>
      <c r="G858" s="19"/>
      <c r="H858" s="23"/>
      <c r="I858" s="4"/>
      <c r="J858" s="14"/>
    </row>
    <row r="859" spans="6:10" ht="12.75">
      <c r="F859" s="17"/>
      <c r="G859" s="19"/>
      <c r="H859" s="23"/>
      <c r="I859" s="4"/>
      <c r="J859" s="14"/>
    </row>
    <row r="860" spans="6:10" ht="12.75">
      <c r="F860" s="17"/>
      <c r="G860" s="19"/>
      <c r="H860" s="23"/>
      <c r="I860" s="4"/>
      <c r="J860" s="14"/>
    </row>
    <row r="861" spans="6:10" ht="12.75">
      <c r="F861" s="17"/>
      <c r="G861" s="19"/>
      <c r="H861" s="23"/>
      <c r="I861" s="4"/>
      <c r="J861" s="14"/>
    </row>
    <row r="862" spans="6:10" ht="12.75">
      <c r="F862" s="17"/>
      <c r="G862" s="19"/>
      <c r="H862" s="23"/>
      <c r="I862" s="4"/>
      <c r="J862" s="14"/>
    </row>
    <row r="863" spans="6:10" ht="12.75">
      <c r="F863" s="17"/>
      <c r="G863" s="19"/>
      <c r="H863" s="23"/>
      <c r="I863" s="4"/>
      <c r="J863" s="14"/>
    </row>
    <row r="864" spans="6:10" ht="12.75">
      <c r="F864" s="17"/>
      <c r="G864" s="19"/>
      <c r="H864" s="23"/>
      <c r="I864" s="4"/>
      <c r="J864" s="14"/>
    </row>
    <row r="865" spans="6:10" ht="12.75">
      <c r="F865" s="17"/>
      <c r="G865" s="19"/>
      <c r="H865" s="23"/>
      <c r="I865" s="4"/>
      <c r="J865" s="14"/>
    </row>
    <row r="866" spans="6:10" ht="12.75">
      <c r="F866" s="17"/>
      <c r="G866" s="19"/>
      <c r="H866" s="23"/>
      <c r="I866" s="4"/>
      <c r="J866" s="14"/>
    </row>
    <row r="867" spans="6:10" ht="12.75">
      <c r="F867" s="17"/>
      <c r="G867" s="19"/>
      <c r="H867" s="23"/>
      <c r="I867" s="4"/>
      <c r="J867" s="14"/>
    </row>
    <row r="868" spans="6:10" ht="12.75">
      <c r="F868" s="17"/>
      <c r="G868" s="19"/>
      <c r="H868" s="23"/>
      <c r="I868" s="4"/>
      <c r="J868" s="14"/>
    </row>
    <row r="869" spans="6:10" ht="12.75">
      <c r="F869" s="17"/>
      <c r="G869" s="19"/>
      <c r="H869" s="23"/>
      <c r="I869" s="4"/>
      <c r="J869" s="14"/>
    </row>
    <row r="870" spans="6:10" ht="12.75">
      <c r="F870" s="17"/>
      <c r="G870" s="19"/>
      <c r="H870" s="23"/>
      <c r="I870" s="4"/>
      <c r="J870" s="14"/>
    </row>
    <row r="871" spans="6:10" ht="12.75">
      <c r="F871" s="17"/>
      <c r="G871" s="19"/>
      <c r="H871" s="23"/>
      <c r="I871" s="4"/>
      <c r="J871" s="14"/>
    </row>
    <row r="872" spans="6:10" ht="12.75">
      <c r="F872" s="17"/>
      <c r="G872" s="19"/>
      <c r="H872" s="23"/>
      <c r="I872" s="4"/>
      <c r="J872" s="14"/>
    </row>
    <row r="873" spans="6:10" ht="12.75">
      <c r="F873" s="17"/>
      <c r="G873" s="19"/>
      <c r="H873" s="23"/>
      <c r="I873" s="4"/>
      <c r="J873" s="14"/>
    </row>
    <row r="874" spans="6:10" ht="12.75">
      <c r="F874" s="17"/>
      <c r="G874" s="19"/>
      <c r="H874" s="23"/>
      <c r="I874" s="4"/>
      <c r="J874" s="14"/>
    </row>
    <row r="875" spans="6:10" ht="12.75">
      <c r="F875" s="17"/>
      <c r="G875" s="19"/>
      <c r="H875" s="23"/>
      <c r="I875" s="4"/>
      <c r="J875" s="14"/>
    </row>
    <row r="876" spans="6:10" ht="12.75">
      <c r="F876" s="17"/>
      <c r="G876" s="19"/>
      <c r="H876" s="23"/>
      <c r="I876" s="4"/>
      <c r="J876" s="14"/>
    </row>
    <row r="877" spans="6:10" ht="12.75">
      <c r="F877" s="17"/>
      <c r="G877" s="19"/>
      <c r="H877" s="23"/>
      <c r="I877" s="4"/>
      <c r="J877" s="14"/>
    </row>
    <row r="878" spans="6:10" ht="12.75">
      <c r="F878" s="17"/>
      <c r="G878" s="19"/>
      <c r="H878" s="23"/>
      <c r="I878" s="4"/>
      <c r="J878" s="14"/>
    </row>
    <row r="879" spans="6:10" ht="12.75">
      <c r="F879" s="17"/>
      <c r="G879" s="19"/>
      <c r="H879" s="23"/>
      <c r="I879" s="4"/>
      <c r="J879" s="14"/>
    </row>
    <row r="880" spans="6:10" ht="12.75">
      <c r="F880" s="17"/>
      <c r="G880" s="19"/>
      <c r="H880" s="23"/>
      <c r="I880" s="4"/>
      <c r="J880" s="14"/>
    </row>
    <row r="881" spans="6:10" ht="12.75">
      <c r="F881" s="17"/>
      <c r="G881" s="19"/>
      <c r="H881" s="23"/>
      <c r="I881" s="4"/>
      <c r="J881" s="14"/>
    </row>
    <row r="882" spans="6:10" ht="12.75">
      <c r="F882" s="17"/>
      <c r="G882" s="19"/>
      <c r="H882" s="23"/>
      <c r="I882" s="4"/>
      <c r="J882" s="14"/>
    </row>
    <row r="883" spans="6:10" ht="12.75">
      <c r="F883" s="17"/>
      <c r="G883" s="19"/>
      <c r="H883" s="23"/>
      <c r="I883" s="4"/>
      <c r="J883" s="14"/>
    </row>
    <row r="884" spans="6:10" ht="12.75">
      <c r="F884" s="17"/>
      <c r="G884" s="19"/>
      <c r="H884" s="23"/>
      <c r="I884" s="4"/>
      <c r="J884" s="14"/>
    </row>
    <row r="885" spans="6:10" ht="12.75">
      <c r="F885" s="17"/>
      <c r="G885" s="19"/>
      <c r="H885" s="23"/>
      <c r="I885" s="4"/>
      <c r="J885" s="14"/>
    </row>
    <row r="886" spans="6:10" ht="12.75">
      <c r="F886" s="17"/>
      <c r="G886" s="19"/>
      <c r="H886" s="23"/>
      <c r="I886" s="4"/>
      <c r="J886" s="14"/>
    </row>
    <row r="887" spans="6:10" ht="12.75">
      <c r="F887" s="17"/>
      <c r="G887" s="19"/>
      <c r="H887" s="23"/>
      <c r="I887" s="4"/>
      <c r="J887" s="14"/>
    </row>
    <row r="888" spans="6:10" ht="12.75">
      <c r="F888" s="17"/>
      <c r="G888" s="19"/>
      <c r="H888" s="23"/>
      <c r="I888" s="4"/>
      <c r="J888" s="14"/>
    </row>
    <row r="889" spans="6:10" ht="12.75">
      <c r="F889" s="17"/>
      <c r="G889" s="19"/>
      <c r="H889" s="23"/>
      <c r="I889" s="4"/>
      <c r="J889" s="14"/>
    </row>
    <row r="890" spans="6:10" ht="12.75">
      <c r="F890" s="17"/>
      <c r="G890" s="19"/>
      <c r="H890" s="23"/>
      <c r="I890" s="4"/>
      <c r="J890" s="14"/>
    </row>
    <row r="891" spans="6:10" ht="12.75">
      <c r="F891" s="17"/>
      <c r="G891" s="19"/>
      <c r="H891" s="23"/>
      <c r="I891" s="4"/>
      <c r="J891" s="14"/>
    </row>
    <row r="892" spans="6:10" ht="12.75">
      <c r="F892" s="17"/>
      <c r="G892" s="19"/>
      <c r="H892" s="23"/>
      <c r="I892" s="4"/>
      <c r="J892" s="14"/>
    </row>
    <row r="893" spans="6:10" ht="12.75">
      <c r="F893" s="17"/>
      <c r="G893" s="19"/>
      <c r="H893" s="23"/>
      <c r="I893" s="4"/>
      <c r="J893" s="14"/>
    </row>
    <row r="894" spans="6:10" ht="12.75">
      <c r="F894" s="17"/>
      <c r="G894" s="19"/>
      <c r="H894" s="23"/>
      <c r="I894" s="4"/>
      <c r="J894" s="14"/>
    </row>
    <row r="895" spans="6:10" ht="12.75">
      <c r="F895" s="17"/>
      <c r="G895" s="19"/>
      <c r="H895" s="23"/>
      <c r="I895" s="4"/>
      <c r="J895" s="14"/>
    </row>
    <row r="896" spans="6:10" ht="12.75">
      <c r="F896" s="17"/>
      <c r="G896" s="19"/>
      <c r="H896" s="23"/>
      <c r="I896" s="4"/>
      <c r="J896" s="14"/>
    </row>
    <row r="897" spans="6:10" ht="12.75">
      <c r="F897" s="17"/>
      <c r="G897" s="19"/>
      <c r="H897" s="23"/>
      <c r="I897" s="4"/>
      <c r="J897" s="14"/>
    </row>
    <row r="898" spans="6:10" ht="12.75">
      <c r="F898" s="17"/>
      <c r="G898" s="19"/>
      <c r="H898" s="23"/>
      <c r="I898" s="4"/>
      <c r="J898" s="14"/>
    </row>
    <row r="899" spans="6:10" ht="12.75">
      <c r="F899" s="17"/>
      <c r="G899" s="19"/>
      <c r="H899" s="23"/>
      <c r="I899" s="4"/>
      <c r="J899" s="14"/>
    </row>
    <row r="900" spans="6:10" ht="12.75">
      <c r="F900" s="17"/>
      <c r="G900" s="19"/>
      <c r="H900" s="23"/>
      <c r="I900" s="4"/>
      <c r="J900" s="14"/>
    </row>
    <row r="901" spans="6:10" ht="12.75">
      <c r="F901" s="17"/>
      <c r="G901" s="19"/>
      <c r="H901" s="23"/>
      <c r="I901" s="4"/>
      <c r="J901" s="14"/>
    </row>
    <row r="902" spans="6:10" ht="12.75">
      <c r="F902" s="17"/>
      <c r="G902" s="19"/>
      <c r="H902" s="23"/>
      <c r="I902" s="4"/>
      <c r="J902" s="14"/>
    </row>
    <row r="903" spans="6:10" ht="12.75">
      <c r="F903" s="17"/>
      <c r="G903" s="19"/>
      <c r="H903" s="23"/>
      <c r="I903" s="4"/>
      <c r="J903" s="14"/>
    </row>
    <row r="904" spans="6:10" ht="12.75">
      <c r="F904" s="17"/>
      <c r="G904" s="19"/>
      <c r="H904" s="23"/>
      <c r="I904" s="4"/>
      <c r="J904" s="14"/>
    </row>
    <row r="905" spans="6:10" ht="12.75">
      <c r="F905" s="17"/>
      <c r="G905" s="19"/>
      <c r="H905" s="23"/>
      <c r="I905" s="4"/>
      <c r="J905" s="14"/>
    </row>
    <row r="906" spans="6:10" ht="12.75">
      <c r="F906" s="17"/>
      <c r="G906" s="19"/>
      <c r="H906" s="23"/>
      <c r="I906" s="4"/>
      <c r="J906" s="14"/>
    </row>
    <row r="907" spans="6:10" ht="12.75">
      <c r="F907" s="17"/>
      <c r="G907" s="19"/>
      <c r="H907" s="23"/>
      <c r="I907" s="4"/>
      <c r="J907" s="14"/>
    </row>
    <row r="908" spans="6:10" ht="12.75">
      <c r="F908" s="17"/>
      <c r="G908" s="19"/>
      <c r="H908" s="23"/>
      <c r="I908" s="4"/>
      <c r="J908" s="14"/>
    </row>
    <row r="909" spans="6:10" ht="12.75">
      <c r="F909" s="17"/>
      <c r="G909" s="19"/>
      <c r="H909" s="23"/>
      <c r="I909" s="4"/>
      <c r="J909" s="14"/>
    </row>
    <row r="910" spans="6:10" ht="12.75">
      <c r="F910" s="17"/>
      <c r="G910" s="19"/>
      <c r="H910" s="23"/>
      <c r="I910" s="4"/>
      <c r="J910" s="14"/>
    </row>
    <row r="911" spans="6:10" ht="12.75">
      <c r="F911" s="17"/>
      <c r="G911" s="19"/>
      <c r="H911" s="23"/>
      <c r="I911" s="4"/>
      <c r="J911" s="14"/>
    </row>
    <row r="912" spans="6:10" ht="12.75">
      <c r="F912" s="17"/>
      <c r="G912" s="19"/>
      <c r="H912" s="23"/>
      <c r="I912" s="4"/>
      <c r="J912" s="14"/>
    </row>
    <row r="913" spans="6:10" ht="12.75">
      <c r="F913" s="17"/>
      <c r="G913" s="19"/>
      <c r="H913" s="23"/>
      <c r="I913" s="4"/>
      <c r="J913" s="14"/>
    </row>
    <row r="914" spans="6:10" ht="12.75">
      <c r="F914" s="17"/>
      <c r="G914" s="19"/>
      <c r="H914" s="23"/>
      <c r="I914" s="4"/>
      <c r="J914" s="14"/>
    </row>
    <row r="915" spans="6:10" ht="12.75">
      <c r="F915" s="17"/>
      <c r="G915" s="19"/>
      <c r="H915" s="23"/>
      <c r="I915" s="4"/>
      <c r="J915" s="14"/>
    </row>
    <row r="916" spans="6:10" ht="12.75">
      <c r="F916" s="17"/>
      <c r="G916" s="19"/>
      <c r="H916" s="23"/>
      <c r="I916" s="4"/>
      <c r="J916" s="14"/>
    </row>
    <row r="917" spans="6:10" ht="12.75">
      <c r="F917" s="17"/>
      <c r="G917" s="19"/>
      <c r="H917" s="23"/>
      <c r="I917" s="4"/>
      <c r="J917" s="14"/>
    </row>
    <row r="918" spans="6:10" ht="12.75">
      <c r="F918" s="17"/>
      <c r="G918" s="19"/>
      <c r="H918" s="23"/>
      <c r="I918" s="4"/>
      <c r="J918" s="14"/>
    </row>
    <row r="919" spans="6:10" ht="12.75">
      <c r="F919" s="17"/>
      <c r="G919" s="19"/>
      <c r="H919" s="23"/>
      <c r="I919" s="4"/>
      <c r="J919" s="14"/>
    </row>
    <row r="920" spans="6:10" ht="12.75">
      <c r="F920" s="17"/>
      <c r="G920" s="19"/>
      <c r="H920" s="23"/>
      <c r="I920" s="4"/>
      <c r="J920" s="14"/>
    </row>
    <row r="921" spans="6:10" ht="12.75">
      <c r="F921" s="17"/>
      <c r="G921" s="19"/>
      <c r="H921" s="23"/>
      <c r="I921" s="4"/>
      <c r="J921" s="14"/>
    </row>
    <row r="922" spans="6:10" ht="12.75">
      <c r="F922" s="17"/>
      <c r="G922" s="19"/>
      <c r="H922" s="23"/>
      <c r="I922" s="4"/>
      <c r="J922" s="14"/>
    </row>
    <row r="923" spans="6:10" ht="12.75">
      <c r="F923" s="17"/>
      <c r="G923" s="19"/>
      <c r="H923" s="23"/>
      <c r="I923" s="4"/>
      <c r="J923" s="14"/>
    </row>
    <row r="924" spans="6:10" ht="12.75">
      <c r="F924" s="17"/>
      <c r="G924" s="19"/>
      <c r="H924" s="23"/>
      <c r="I924" s="4"/>
      <c r="J924" s="14"/>
    </row>
    <row r="925" spans="6:10" ht="12.75">
      <c r="F925" s="17"/>
      <c r="G925" s="19"/>
      <c r="H925" s="23"/>
      <c r="I925" s="4"/>
      <c r="J925" s="14"/>
    </row>
    <row r="926" spans="6:10" ht="12.75">
      <c r="F926" s="17"/>
      <c r="G926" s="19"/>
      <c r="H926" s="23"/>
      <c r="I926" s="4"/>
      <c r="J926" s="14"/>
    </row>
    <row r="927" spans="6:10" ht="12.75">
      <c r="F927" s="17"/>
      <c r="G927" s="19"/>
      <c r="H927" s="23"/>
      <c r="I927" s="4"/>
      <c r="J927" s="14"/>
    </row>
    <row r="928" spans="6:10" ht="12.75">
      <c r="F928" s="17"/>
      <c r="G928" s="19"/>
      <c r="H928" s="23"/>
      <c r="I928" s="4"/>
      <c r="J928" s="14"/>
    </row>
    <row r="929" spans="6:10" ht="12.75">
      <c r="F929" s="17"/>
      <c r="G929" s="19"/>
      <c r="H929" s="23"/>
      <c r="I929" s="4"/>
      <c r="J929" s="14"/>
    </row>
    <row r="930" spans="6:10" ht="12.75">
      <c r="F930" s="17"/>
      <c r="G930" s="19"/>
      <c r="H930" s="23"/>
      <c r="I930" s="4"/>
      <c r="J930" s="14"/>
    </row>
    <row r="931" spans="6:10" ht="12.75">
      <c r="F931" s="17"/>
      <c r="G931" s="19"/>
      <c r="H931" s="23"/>
      <c r="I931" s="4"/>
      <c r="J931" s="14"/>
    </row>
    <row r="932" spans="6:10" ht="12.75">
      <c r="F932" s="17"/>
      <c r="G932" s="19"/>
      <c r="H932" s="23"/>
      <c r="I932" s="4"/>
      <c r="J932" s="14"/>
    </row>
    <row r="933" spans="6:10" ht="12.75">
      <c r="F933" s="17"/>
      <c r="G933" s="19"/>
      <c r="H933" s="23"/>
      <c r="I933" s="4"/>
      <c r="J933" s="14"/>
    </row>
    <row r="934" spans="6:10" ht="12.75">
      <c r="F934" s="17"/>
      <c r="G934" s="19"/>
      <c r="H934" s="23"/>
      <c r="I934" s="4"/>
      <c r="J934" s="14"/>
    </row>
    <row r="935" spans="6:10" ht="12.75">
      <c r="F935" s="17"/>
      <c r="G935" s="19"/>
      <c r="H935" s="23"/>
      <c r="I935" s="4"/>
      <c r="J935" s="14"/>
    </row>
    <row r="936" spans="6:10" ht="12.75">
      <c r="F936" s="17"/>
      <c r="G936" s="19"/>
      <c r="H936" s="23"/>
      <c r="I936" s="4"/>
      <c r="J936" s="14"/>
    </row>
    <row r="937" spans="6:10" ht="12.75">
      <c r="F937" s="17"/>
      <c r="G937" s="19"/>
      <c r="H937" s="23"/>
      <c r="I937" s="4"/>
      <c r="J937" s="14"/>
    </row>
    <row r="938" spans="6:10" ht="12.75">
      <c r="F938" s="17"/>
      <c r="G938" s="19"/>
      <c r="H938" s="23"/>
      <c r="I938" s="4"/>
      <c r="J938" s="14"/>
    </row>
    <row r="939" spans="6:10" ht="12.75">
      <c r="F939" s="17"/>
      <c r="G939" s="19"/>
      <c r="H939" s="23"/>
      <c r="I939" s="4"/>
      <c r="J939" s="14"/>
    </row>
    <row r="940" spans="6:10" ht="12.75">
      <c r="F940" s="17"/>
      <c r="G940" s="19"/>
      <c r="H940" s="23"/>
      <c r="I940" s="4"/>
      <c r="J940" s="14"/>
    </row>
    <row r="941" spans="6:10" ht="12.75">
      <c r="F941" s="17"/>
      <c r="G941" s="19"/>
      <c r="H941" s="23"/>
      <c r="I941" s="4"/>
      <c r="J941" s="14"/>
    </row>
    <row r="942" spans="6:10" ht="12.75">
      <c r="F942" s="17"/>
      <c r="G942" s="19"/>
      <c r="H942" s="23"/>
      <c r="I942" s="4"/>
      <c r="J942" s="14"/>
    </row>
    <row r="943" spans="6:10" ht="12.75">
      <c r="F943" s="17"/>
      <c r="G943" s="19"/>
      <c r="H943" s="23"/>
      <c r="I943" s="4"/>
      <c r="J943" s="14"/>
    </row>
    <row r="944" spans="6:10" ht="12.75">
      <c r="F944" s="17"/>
      <c r="G944" s="19"/>
      <c r="H944" s="23"/>
      <c r="I944" s="4"/>
      <c r="J944" s="14"/>
    </row>
    <row r="945" spans="6:10" ht="12.75">
      <c r="F945" s="17"/>
      <c r="G945" s="19"/>
      <c r="H945" s="23"/>
      <c r="I945" s="4"/>
      <c r="J945" s="14"/>
    </row>
    <row r="946" spans="6:10" ht="12.75">
      <c r="F946" s="17"/>
      <c r="G946" s="19"/>
      <c r="H946" s="23"/>
      <c r="I946" s="4"/>
      <c r="J946" s="14"/>
    </row>
    <row r="947" spans="6:10" ht="12.75">
      <c r="F947" s="17"/>
      <c r="G947" s="19"/>
      <c r="H947" s="23"/>
      <c r="I947" s="4"/>
      <c r="J947" s="14"/>
    </row>
    <row r="948" spans="6:10" ht="12.75">
      <c r="F948" s="17"/>
      <c r="G948" s="19"/>
      <c r="H948" s="23"/>
      <c r="I948" s="4"/>
      <c r="J948" s="14"/>
    </row>
    <row r="949" spans="6:10" ht="12.75">
      <c r="F949" s="17"/>
      <c r="G949" s="19"/>
      <c r="H949" s="23"/>
      <c r="I949" s="4"/>
      <c r="J949" s="14"/>
    </row>
    <row r="950" spans="6:10" ht="12.75">
      <c r="F950" s="17"/>
      <c r="G950" s="19"/>
      <c r="H950" s="23"/>
      <c r="I950" s="4"/>
      <c r="J950" s="14"/>
    </row>
    <row r="951" spans="6:10" ht="12.75">
      <c r="F951" s="17"/>
      <c r="G951" s="19"/>
      <c r="H951" s="23"/>
      <c r="I951" s="4"/>
      <c r="J951" s="14"/>
    </row>
    <row r="952" spans="6:10" ht="12.75">
      <c r="F952" s="17"/>
      <c r="G952" s="19"/>
      <c r="H952" s="23"/>
      <c r="I952" s="4"/>
      <c r="J952" s="14"/>
    </row>
    <row r="953" spans="6:10" ht="12.75">
      <c r="F953" s="17"/>
      <c r="G953" s="19"/>
      <c r="H953" s="23"/>
      <c r="I953" s="4"/>
      <c r="J953" s="14"/>
    </row>
    <row r="954" spans="6:10" ht="12.75">
      <c r="F954" s="17"/>
      <c r="G954" s="19"/>
      <c r="H954" s="23"/>
      <c r="I954" s="4"/>
      <c r="J954" s="14"/>
    </row>
    <row r="955" spans="6:10" ht="12.75">
      <c r="F955" s="17"/>
      <c r="G955" s="19"/>
      <c r="H955" s="23"/>
      <c r="I955" s="4"/>
      <c r="J955" s="14"/>
    </row>
    <row r="956" spans="6:10" ht="12.75">
      <c r="F956" s="17"/>
      <c r="G956" s="19"/>
      <c r="H956" s="23"/>
      <c r="I956" s="4"/>
      <c r="J956" s="14"/>
    </row>
    <row r="957" spans="6:10" ht="12.75">
      <c r="F957" s="17"/>
      <c r="G957" s="19"/>
      <c r="H957" s="23"/>
      <c r="I957" s="4"/>
      <c r="J957" s="14"/>
    </row>
    <row r="958" spans="6:10" ht="12.75">
      <c r="F958" s="17"/>
      <c r="G958" s="19"/>
      <c r="H958" s="23"/>
      <c r="I958" s="4"/>
      <c r="J958" s="14"/>
    </row>
    <row r="959" spans="6:10" ht="12.75">
      <c r="F959" s="17"/>
      <c r="G959" s="19"/>
      <c r="H959" s="23"/>
      <c r="I959" s="4"/>
      <c r="J959" s="14"/>
    </row>
    <row r="960" spans="6:10" ht="12.75">
      <c r="F960" s="17"/>
      <c r="G960" s="19"/>
      <c r="H960" s="23"/>
      <c r="I960" s="4"/>
      <c r="J960" s="14"/>
    </row>
    <row r="961" spans="6:10" ht="12.75">
      <c r="F961" s="17"/>
      <c r="G961" s="19"/>
      <c r="H961" s="23"/>
      <c r="I961" s="4"/>
      <c r="J961" s="14"/>
    </row>
    <row r="962" spans="6:10" ht="12.75">
      <c r="F962" s="17"/>
      <c r="G962" s="19"/>
      <c r="H962" s="23"/>
      <c r="I962" s="4"/>
      <c r="J962" s="14"/>
    </row>
    <row r="963" spans="6:10" ht="12.75">
      <c r="F963" s="17"/>
      <c r="G963" s="19"/>
      <c r="H963" s="23"/>
      <c r="I963" s="4"/>
      <c r="J963" s="14"/>
    </row>
    <row r="964" spans="6:10" ht="12.75">
      <c r="F964" s="17"/>
      <c r="G964" s="19"/>
      <c r="H964" s="23"/>
      <c r="I964" s="4"/>
      <c r="J964" s="14"/>
    </row>
    <row r="965" spans="6:10" ht="12.75">
      <c r="F965" s="17"/>
      <c r="G965" s="19"/>
      <c r="H965" s="23"/>
      <c r="I965" s="4"/>
      <c r="J965" s="14"/>
    </row>
    <row r="966" spans="6:10" ht="12.75">
      <c r="F966" s="17"/>
      <c r="G966" s="19"/>
      <c r="H966" s="23"/>
      <c r="I966" s="4"/>
      <c r="J966" s="14"/>
    </row>
    <row r="967" spans="6:10" ht="12.75">
      <c r="F967" s="17"/>
      <c r="G967" s="19"/>
      <c r="H967" s="23"/>
      <c r="I967" s="4"/>
      <c r="J967" s="14"/>
    </row>
    <row r="968" spans="6:10" ht="12.75">
      <c r="F968" s="17"/>
      <c r="G968" s="19"/>
      <c r="H968" s="23"/>
      <c r="I968" s="4"/>
      <c r="J968" s="14"/>
    </row>
    <row r="969" spans="6:10" ht="12.75">
      <c r="F969" s="17"/>
      <c r="G969" s="19"/>
      <c r="H969" s="23"/>
      <c r="I969" s="4"/>
      <c r="J969" s="14"/>
    </row>
    <row r="970" spans="6:10" ht="12.75">
      <c r="F970" s="17"/>
      <c r="G970" s="19"/>
      <c r="H970" s="23"/>
      <c r="I970" s="4"/>
      <c r="J970" s="14"/>
    </row>
    <row r="971" spans="6:10" ht="12.75">
      <c r="F971" s="17"/>
      <c r="G971" s="19"/>
      <c r="H971" s="23"/>
      <c r="I971" s="4"/>
      <c r="J971" s="14"/>
    </row>
    <row r="972" spans="6:10" ht="12.75">
      <c r="F972" s="17"/>
      <c r="G972" s="19"/>
      <c r="H972" s="23"/>
      <c r="I972" s="4"/>
      <c r="J972" s="14"/>
    </row>
    <row r="973" spans="6:10" ht="12.75">
      <c r="F973" s="17"/>
      <c r="G973" s="19"/>
      <c r="H973" s="23"/>
      <c r="I973" s="4"/>
      <c r="J973" s="14"/>
    </row>
    <row r="974" spans="6:10" ht="12.75">
      <c r="F974" s="17"/>
      <c r="G974" s="19"/>
      <c r="H974" s="23"/>
      <c r="I974" s="4"/>
      <c r="J974" s="14"/>
    </row>
    <row r="975" spans="6:10" ht="12.75">
      <c r="F975" s="17"/>
      <c r="G975" s="19"/>
      <c r="H975" s="23"/>
      <c r="I975" s="4"/>
      <c r="J975" s="14"/>
    </row>
    <row r="976" spans="6:10" ht="12.75">
      <c r="F976" s="17"/>
      <c r="G976" s="19"/>
      <c r="H976" s="23"/>
      <c r="I976" s="4"/>
      <c r="J976" s="14"/>
    </row>
    <row r="977" spans="6:10" ht="12.75">
      <c r="F977" s="17"/>
      <c r="G977" s="19"/>
      <c r="H977" s="23"/>
      <c r="I977" s="4"/>
      <c r="J977" s="14"/>
    </row>
    <row r="978" spans="6:10" ht="12.75">
      <c r="F978" s="17"/>
      <c r="G978" s="19"/>
      <c r="H978" s="23"/>
      <c r="I978" s="4"/>
      <c r="J978" s="14"/>
    </row>
    <row r="979" spans="6:10" ht="12.75">
      <c r="F979" s="17"/>
      <c r="G979" s="19"/>
      <c r="H979" s="23"/>
      <c r="I979" s="4"/>
      <c r="J979" s="14"/>
    </row>
    <row r="980" spans="6:10" ht="12.75">
      <c r="F980" s="17"/>
      <c r="G980" s="19"/>
      <c r="H980" s="23"/>
      <c r="I980" s="4"/>
      <c r="J980" s="14"/>
    </row>
    <row r="981" spans="6:10" ht="12.75">
      <c r="F981" s="17"/>
      <c r="G981" s="19"/>
      <c r="H981" s="23"/>
      <c r="I981" s="4"/>
      <c r="J981" s="14"/>
    </row>
    <row r="982" spans="6:10" ht="12.75">
      <c r="F982" s="17"/>
      <c r="G982" s="19"/>
      <c r="H982" s="23"/>
      <c r="I982" s="4"/>
      <c r="J982" s="14"/>
    </row>
    <row r="983" spans="6:10" ht="12.75">
      <c r="F983" s="17"/>
      <c r="G983" s="19"/>
      <c r="H983" s="23"/>
      <c r="I983" s="4"/>
      <c r="J983" s="14"/>
    </row>
    <row r="984" spans="6:10" ht="12.75">
      <c r="F984" s="17"/>
      <c r="G984" s="19"/>
      <c r="H984" s="23"/>
      <c r="I984" s="4"/>
      <c r="J984" s="14"/>
    </row>
    <row r="985" spans="6:10" ht="12.75">
      <c r="F985" s="17"/>
      <c r="G985" s="19"/>
      <c r="H985" s="23"/>
      <c r="I985" s="4"/>
      <c r="J985" s="14"/>
    </row>
    <row r="986" spans="6:10" ht="12.75">
      <c r="F986" s="17"/>
      <c r="G986" s="19"/>
      <c r="H986" s="23"/>
      <c r="I986" s="4"/>
      <c r="J986" s="14"/>
    </row>
    <row r="987" spans="6:10" ht="12.75">
      <c r="F987" s="17"/>
      <c r="G987" s="19"/>
      <c r="H987" s="23"/>
      <c r="I987" s="4"/>
      <c r="J987" s="14"/>
    </row>
    <row r="988" spans="6:10" ht="12.75">
      <c r="F988" s="17"/>
      <c r="G988" s="19"/>
      <c r="H988" s="23"/>
      <c r="I988" s="4"/>
      <c r="J988" s="14"/>
    </row>
    <row r="989" spans="6:10" ht="12.75">
      <c r="F989" s="17"/>
      <c r="G989" s="19"/>
      <c r="H989" s="23"/>
      <c r="I989" s="4"/>
      <c r="J989" s="14"/>
    </row>
    <row r="990" spans="6:10" ht="12.75">
      <c r="F990" s="17"/>
      <c r="G990" s="19"/>
      <c r="H990" s="23"/>
      <c r="I990" s="4"/>
      <c r="J990" s="14"/>
    </row>
    <row r="991" spans="6:10" ht="12.75">
      <c r="F991" s="17"/>
      <c r="G991" s="19"/>
      <c r="H991" s="23"/>
      <c r="I991" s="4"/>
      <c r="J991" s="14"/>
    </row>
    <row r="992" spans="6:10" ht="12.75">
      <c r="F992" s="17"/>
      <c r="G992" s="19"/>
      <c r="H992" s="23"/>
      <c r="I992" s="4"/>
      <c r="J992" s="14"/>
    </row>
    <row r="993" spans="6:10" ht="12.75">
      <c r="F993" s="17"/>
      <c r="G993" s="19"/>
      <c r="H993" s="23"/>
      <c r="I993" s="4"/>
      <c r="J993" s="14"/>
    </row>
    <row r="994" spans="6:10" ht="12.75">
      <c r="F994" s="17"/>
      <c r="G994" s="19"/>
      <c r="H994" s="23"/>
      <c r="I994" s="4"/>
      <c r="J994" s="14"/>
    </row>
    <row r="995" spans="6:10" ht="12.75">
      <c r="F995" s="17"/>
      <c r="G995" s="19"/>
      <c r="H995" s="23"/>
      <c r="I995" s="4"/>
      <c r="J995" s="14"/>
    </row>
    <row r="996" spans="6:10" ht="12.75">
      <c r="F996" s="17"/>
      <c r="G996" s="19"/>
      <c r="H996" s="23"/>
      <c r="I996" s="4"/>
      <c r="J996" s="14"/>
    </row>
    <row r="997" spans="6:10" ht="12.75">
      <c r="F997" s="17"/>
      <c r="G997" s="19"/>
      <c r="H997" s="23"/>
      <c r="I997" s="4"/>
      <c r="J997" s="14"/>
    </row>
    <row r="998" spans="6:10" ht="12.75">
      <c r="F998" s="17"/>
      <c r="G998" s="19"/>
      <c r="H998" s="23"/>
      <c r="I998" s="4"/>
      <c r="J998" s="14"/>
    </row>
    <row r="999" spans="6:10" ht="12.75">
      <c r="F999" s="17"/>
      <c r="G999" s="19"/>
      <c r="H999" s="23"/>
      <c r="I999" s="4"/>
      <c r="J999" s="14"/>
    </row>
    <row r="1000" spans="6:10" ht="12.75">
      <c r="F1000" s="17"/>
      <c r="G1000" s="19"/>
      <c r="H1000" s="23"/>
      <c r="I1000" s="4"/>
      <c r="J1000" s="14"/>
    </row>
    <row r="1001" spans="6:10" ht="12.75">
      <c r="F1001" s="17"/>
      <c r="G1001" s="19"/>
      <c r="H1001" s="23"/>
      <c r="I1001" s="4"/>
      <c r="J1001" s="14"/>
    </row>
    <row r="1002" spans="6:10" ht="12.75">
      <c r="F1002" s="17"/>
      <c r="G1002" s="19"/>
      <c r="H1002" s="23"/>
      <c r="I1002" s="4"/>
      <c r="J1002" s="14"/>
    </row>
    <row r="1003" spans="6:10" ht="12.75">
      <c r="F1003" s="17"/>
      <c r="G1003" s="19"/>
      <c r="H1003" s="23"/>
      <c r="I1003" s="4"/>
      <c r="J1003" s="14"/>
    </row>
    <row r="1004" spans="6:10" ht="12.75">
      <c r="F1004" s="17"/>
      <c r="G1004" s="19"/>
      <c r="H1004" s="23"/>
      <c r="I1004" s="4"/>
      <c r="J1004" s="14"/>
    </row>
    <row r="1005" spans="6:10" ht="12.75">
      <c r="F1005" s="17"/>
      <c r="G1005" s="19"/>
      <c r="H1005" s="23"/>
      <c r="I1005" s="4"/>
      <c r="J1005" s="14"/>
    </row>
    <row r="1006" spans="6:10" ht="12.75">
      <c r="F1006" s="17"/>
      <c r="G1006" s="19"/>
      <c r="H1006" s="23"/>
      <c r="I1006" s="4"/>
      <c r="J1006" s="14"/>
    </row>
    <row r="1007" spans="6:10" ht="12.75">
      <c r="F1007" s="17"/>
      <c r="G1007" s="19"/>
      <c r="H1007" s="23"/>
      <c r="I1007" s="4"/>
      <c r="J1007" s="14"/>
    </row>
    <row r="1008" spans="6:10" ht="12.75">
      <c r="F1008" s="17"/>
      <c r="G1008" s="19"/>
      <c r="H1008" s="23"/>
      <c r="I1008" s="4"/>
      <c r="J1008" s="14"/>
    </row>
    <row r="1009" spans="6:10" ht="12.75">
      <c r="F1009" s="17"/>
      <c r="G1009" s="19"/>
      <c r="H1009" s="23"/>
      <c r="I1009" s="4"/>
      <c r="J1009" s="14"/>
    </row>
    <row r="1010" spans="6:10" ht="12.75">
      <c r="F1010" s="17"/>
      <c r="G1010" s="19"/>
      <c r="H1010" s="23"/>
      <c r="I1010" s="4"/>
      <c r="J1010" s="14"/>
    </row>
    <row r="1011" spans="6:10" ht="12.75">
      <c r="F1011" s="17"/>
      <c r="G1011" s="19"/>
      <c r="H1011" s="23"/>
      <c r="I1011" s="4"/>
      <c r="J1011" s="14"/>
    </row>
    <row r="1012" spans="6:10" ht="12.75">
      <c r="F1012" s="17"/>
      <c r="G1012" s="19"/>
      <c r="H1012" s="23"/>
      <c r="I1012" s="4"/>
      <c r="J1012" s="14"/>
    </row>
    <row r="1013" spans="6:10" ht="12.75">
      <c r="F1013" s="17"/>
      <c r="G1013" s="19"/>
      <c r="H1013" s="23"/>
      <c r="I1013" s="4"/>
      <c r="J1013" s="14"/>
    </row>
    <row r="1014" spans="6:10" ht="12.75">
      <c r="F1014" s="17"/>
      <c r="G1014" s="19"/>
      <c r="H1014" s="23"/>
      <c r="I1014" s="4"/>
      <c r="J1014" s="14"/>
    </row>
    <row r="1015" spans="6:10" ht="12.75">
      <c r="F1015" s="17"/>
      <c r="G1015" s="19"/>
      <c r="H1015" s="23"/>
      <c r="I1015" s="4"/>
      <c r="J1015" s="14"/>
    </row>
    <row r="1016" spans="6:10" ht="12.75">
      <c r="F1016" s="17"/>
      <c r="G1016" s="19"/>
      <c r="H1016" s="23"/>
      <c r="I1016" s="4"/>
      <c r="J1016" s="14"/>
    </row>
    <row r="1017" spans="6:10" ht="12.75">
      <c r="F1017" s="17"/>
      <c r="G1017" s="19"/>
      <c r="H1017" s="23"/>
      <c r="I1017" s="4"/>
      <c r="J1017" s="14"/>
    </row>
    <row r="1018" spans="6:10" ht="12.75">
      <c r="F1018" s="17"/>
      <c r="G1018" s="19"/>
      <c r="H1018" s="23"/>
      <c r="I1018" s="4"/>
      <c r="J1018" s="14"/>
    </row>
    <row r="1019" spans="6:10" ht="12.75">
      <c r="F1019" s="17"/>
      <c r="G1019" s="19"/>
      <c r="H1019" s="23"/>
      <c r="I1019" s="4"/>
      <c r="J1019" s="14"/>
    </row>
    <row r="1020" spans="6:10" ht="12.75">
      <c r="F1020" s="17"/>
      <c r="G1020" s="19"/>
      <c r="H1020" s="23"/>
      <c r="I1020" s="4"/>
      <c r="J1020" s="14"/>
    </row>
    <row r="1021" spans="6:10" ht="12.75">
      <c r="F1021" s="17"/>
      <c r="G1021" s="19"/>
      <c r="H1021" s="23"/>
      <c r="I1021" s="4"/>
      <c r="J1021" s="14"/>
    </row>
    <row r="1022" spans="6:10" ht="12.75">
      <c r="F1022" s="17"/>
      <c r="G1022" s="19"/>
      <c r="H1022" s="23"/>
      <c r="I1022" s="4"/>
      <c r="J1022" s="14"/>
    </row>
    <row r="1023" spans="6:10" ht="12.75">
      <c r="F1023" s="17"/>
      <c r="G1023" s="19"/>
      <c r="H1023" s="23"/>
      <c r="I1023" s="4"/>
      <c r="J1023" s="14"/>
    </row>
    <row r="1024" spans="6:10" ht="12.75">
      <c r="F1024" s="17"/>
      <c r="G1024" s="19"/>
      <c r="H1024" s="23"/>
      <c r="I1024" s="4"/>
      <c r="J1024" s="14"/>
    </row>
    <row r="1025" spans="6:10" ht="12.75">
      <c r="F1025" s="17"/>
      <c r="G1025" s="19"/>
      <c r="H1025" s="23"/>
      <c r="I1025" s="4"/>
      <c r="J1025" s="14"/>
    </row>
    <row r="1026" spans="6:10" ht="12.75">
      <c r="F1026" s="17"/>
      <c r="G1026" s="19"/>
      <c r="H1026" s="23"/>
      <c r="I1026" s="4"/>
      <c r="J1026" s="14"/>
    </row>
    <row r="1027" spans="6:10" ht="12.75">
      <c r="F1027" s="17"/>
      <c r="G1027" s="19"/>
      <c r="H1027" s="23"/>
      <c r="I1027" s="4"/>
      <c r="J1027" s="14"/>
    </row>
    <row r="1028" spans="6:10" ht="12.75">
      <c r="F1028" s="17"/>
      <c r="G1028" s="19"/>
      <c r="H1028" s="23"/>
      <c r="I1028" s="4"/>
      <c r="J1028" s="14"/>
    </row>
    <row r="1029" spans="6:10" ht="12.75">
      <c r="F1029" s="17"/>
      <c r="G1029" s="19"/>
      <c r="H1029" s="23"/>
      <c r="I1029" s="4"/>
      <c r="J1029" s="14"/>
    </row>
    <row r="1030" spans="6:10" ht="12.75">
      <c r="F1030" s="17"/>
      <c r="G1030" s="19"/>
      <c r="H1030" s="23"/>
      <c r="I1030" s="4"/>
      <c r="J1030" s="14"/>
    </row>
    <row r="1031" spans="6:10" ht="12.75">
      <c r="F1031" s="17"/>
      <c r="G1031" s="19"/>
      <c r="H1031" s="23"/>
      <c r="I1031" s="4"/>
      <c r="J1031" s="14"/>
    </row>
    <row r="1032" spans="6:10" ht="12.75">
      <c r="F1032" s="17"/>
      <c r="G1032" s="19"/>
      <c r="H1032" s="23"/>
      <c r="I1032" s="4"/>
      <c r="J1032" s="14"/>
    </row>
    <row r="1033" spans="6:10" ht="12.75">
      <c r="F1033" s="17"/>
      <c r="G1033" s="19"/>
      <c r="H1033" s="23"/>
      <c r="I1033" s="4"/>
      <c r="J1033" s="14"/>
    </row>
    <row r="1034" spans="6:10" ht="12.75">
      <c r="F1034" s="17"/>
      <c r="G1034" s="19"/>
      <c r="H1034" s="23"/>
      <c r="I1034" s="4"/>
      <c r="J1034" s="14"/>
    </row>
    <row r="1035" spans="6:10" ht="12.75">
      <c r="F1035" s="17"/>
      <c r="G1035" s="19"/>
      <c r="H1035" s="23"/>
      <c r="I1035" s="4"/>
      <c r="J1035" s="14"/>
    </row>
    <row r="1036" spans="6:10" ht="12.75">
      <c r="F1036" s="17"/>
      <c r="G1036" s="19"/>
      <c r="H1036" s="23"/>
      <c r="I1036" s="4"/>
      <c r="J1036" s="14"/>
    </row>
    <row r="1037" spans="6:10" ht="12.75">
      <c r="F1037" s="17"/>
      <c r="G1037" s="19"/>
      <c r="H1037" s="23"/>
      <c r="I1037" s="4"/>
      <c r="J1037" s="14"/>
    </row>
    <row r="1038" spans="6:10" ht="12.75">
      <c r="F1038" s="17"/>
      <c r="G1038" s="19"/>
      <c r="H1038" s="23"/>
      <c r="I1038" s="4"/>
      <c r="J1038" s="14"/>
    </row>
    <row r="1039" spans="6:10" ht="12.75">
      <c r="F1039" s="17"/>
      <c r="G1039" s="19"/>
      <c r="H1039" s="23"/>
      <c r="I1039" s="4"/>
      <c r="J1039" s="14"/>
    </row>
    <row r="1040" spans="6:10" ht="12.75">
      <c r="F1040" s="17"/>
      <c r="G1040" s="19"/>
      <c r="H1040" s="23"/>
      <c r="I1040" s="4"/>
      <c r="J1040" s="14"/>
    </row>
    <row r="1041" spans="6:10" ht="12.75">
      <c r="F1041" s="17"/>
      <c r="G1041" s="19"/>
      <c r="H1041" s="23"/>
      <c r="I1041" s="4"/>
      <c r="J1041" s="14"/>
    </row>
    <row r="1042" spans="6:10" ht="12.75">
      <c r="F1042" s="17"/>
      <c r="G1042" s="19"/>
      <c r="H1042" s="23"/>
      <c r="I1042" s="4"/>
      <c r="J1042" s="14"/>
    </row>
    <row r="1043" spans="6:10" ht="12.75">
      <c r="F1043" s="17"/>
      <c r="G1043" s="19"/>
      <c r="H1043" s="23"/>
      <c r="I1043" s="4"/>
      <c r="J1043" s="14"/>
    </row>
    <row r="1044" spans="6:10" ht="12.75">
      <c r="F1044" s="17"/>
      <c r="G1044" s="19"/>
      <c r="H1044" s="23"/>
      <c r="I1044" s="4"/>
      <c r="J1044" s="14"/>
    </row>
    <row r="1045" spans="6:10" ht="12.75">
      <c r="F1045" s="17"/>
      <c r="G1045" s="19"/>
      <c r="H1045" s="23"/>
      <c r="I1045" s="4"/>
      <c r="J1045" s="14"/>
    </row>
    <row r="1046" spans="6:10" ht="12.75">
      <c r="F1046" s="17"/>
      <c r="G1046" s="19"/>
      <c r="H1046" s="23"/>
      <c r="I1046" s="4"/>
      <c r="J1046" s="14"/>
    </row>
    <row r="1047" spans="6:10" ht="12.75">
      <c r="F1047" s="17"/>
      <c r="G1047" s="19"/>
      <c r="H1047" s="23"/>
      <c r="I1047" s="4"/>
      <c r="J1047" s="14"/>
    </row>
    <row r="1048" spans="6:10" ht="12.75">
      <c r="F1048" s="17"/>
      <c r="G1048" s="19"/>
      <c r="H1048" s="23"/>
      <c r="I1048" s="4"/>
      <c r="J1048" s="14"/>
    </row>
    <row r="1049" spans="6:10" ht="12.75">
      <c r="F1049" s="17"/>
      <c r="G1049" s="19"/>
      <c r="H1049" s="23"/>
      <c r="I1049" s="4"/>
      <c r="J1049" s="14"/>
    </row>
    <row r="1050" spans="6:10" ht="12.75">
      <c r="F1050" s="17"/>
      <c r="G1050" s="19"/>
      <c r="H1050" s="23"/>
      <c r="I1050" s="4"/>
      <c r="J1050" s="14"/>
    </row>
    <row r="1051" spans="6:10" ht="12.75">
      <c r="F1051" s="17"/>
      <c r="G1051" s="19"/>
      <c r="H1051" s="23"/>
      <c r="I1051" s="4"/>
      <c r="J1051" s="14"/>
    </row>
    <row r="1052" spans="6:10" ht="12.75">
      <c r="F1052" s="17"/>
      <c r="G1052" s="19"/>
      <c r="H1052" s="23"/>
      <c r="I1052" s="4"/>
      <c r="J1052" s="14"/>
    </row>
    <row r="1053" spans="6:10" ht="12.75">
      <c r="F1053" s="17"/>
      <c r="G1053" s="19"/>
      <c r="H1053" s="23"/>
      <c r="I1053" s="4"/>
      <c r="J1053" s="14"/>
    </row>
    <row r="1054" spans="6:10" ht="12.75">
      <c r="F1054" s="17"/>
      <c r="G1054" s="19"/>
      <c r="H1054" s="23"/>
      <c r="I1054" s="4"/>
      <c r="J1054" s="14"/>
    </row>
    <row r="1055" spans="6:10" ht="12.75">
      <c r="F1055" s="17"/>
      <c r="G1055" s="19"/>
      <c r="H1055" s="23"/>
      <c r="I1055" s="4"/>
      <c r="J1055" s="14"/>
    </row>
    <row r="1056" spans="6:10" ht="12.75">
      <c r="F1056" s="17"/>
      <c r="G1056" s="19"/>
      <c r="H1056" s="23"/>
      <c r="I1056" s="4"/>
      <c r="J1056" s="14"/>
    </row>
    <row r="1057" spans="6:10" ht="12.75">
      <c r="F1057" s="17"/>
      <c r="G1057" s="19"/>
      <c r="H1057" s="23"/>
      <c r="I1057" s="4"/>
      <c r="J1057" s="14"/>
    </row>
    <row r="1058" spans="6:10" ht="12.75">
      <c r="F1058" s="17"/>
      <c r="G1058" s="19"/>
      <c r="H1058" s="23"/>
      <c r="I1058" s="4"/>
      <c r="J1058" s="14"/>
    </row>
    <row r="1059" spans="6:10" ht="12.75">
      <c r="F1059" s="17"/>
      <c r="G1059" s="19"/>
      <c r="H1059" s="23"/>
      <c r="I1059" s="4"/>
      <c r="J1059" s="14"/>
    </row>
    <row r="1060" spans="6:10" ht="12.75">
      <c r="F1060" s="17"/>
      <c r="G1060" s="19"/>
      <c r="H1060" s="23"/>
      <c r="I1060" s="4"/>
      <c r="J1060" s="14"/>
    </row>
    <row r="1061" spans="6:10" ht="12.75">
      <c r="F1061" s="17"/>
      <c r="G1061" s="19"/>
      <c r="H1061" s="23"/>
      <c r="I1061" s="4"/>
      <c r="J1061" s="14"/>
    </row>
    <row r="1062" spans="6:10" ht="12.75">
      <c r="F1062" s="17"/>
      <c r="G1062" s="19"/>
      <c r="H1062" s="23"/>
      <c r="I1062" s="4"/>
      <c r="J1062" s="14"/>
    </row>
    <row r="1063" spans="6:10" ht="12.75">
      <c r="F1063" s="17"/>
      <c r="G1063" s="19"/>
      <c r="H1063" s="23"/>
      <c r="I1063" s="4"/>
      <c r="J1063" s="14"/>
    </row>
    <row r="1064" spans="6:10" ht="12.75">
      <c r="F1064" s="17"/>
      <c r="G1064" s="19"/>
      <c r="H1064" s="23"/>
      <c r="I1064" s="4"/>
      <c r="J1064" s="14"/>
    </row>
    <row r="1065" spans="6:10" ht="12.75">
      <c r="F1065" s="17"/>
      <c r="G1065" s="19"/>
      <c r="H1065" s="23"/>
      <c r="I1065" s="4"/>
      <c r="J1065" s="14"/>
    </row>
    <row r="1066" spans="6:10" ht="12.75">
      <c r="F1066" s="17"/>
      <c r="G1066" s="19"/>
      <c r="H1066" s="23"/>
      <c r="I1066" s="4"/>
      <c r="J1066" s="14"/>
    </row>
    <row r="1067" spans="6:10" ht="12.75">
      <c r="F1067" s="17"/>
      <c r="G1067" s="19"/>
      <c r="H1067" s="23"/>
      <c r="I1067" s="4"/>
      <c r="J1067" s="14"/>
    </row>
    <row r="1068" spans="6:10" ht="12.75">
      <c r="F1068" s="17"/>
      <c r="G1068" s="19"/>
      <c r="H1068" s="23"/>
      <c r="I1068" s="4"/>
      <c r="J1068" s="14"/>
    </row>
    <row r="1069" spans="6:10" ht="12.75">
      <c r="F1069" s="17"/>
      <c r="G1069" s="19"/>
      <c r="H1069" s="23"/>
      <c r="I1069" s="4"/>
      <c r="J1069" s="14"/>
    </row>
    <row r="1070" spans="6:10" ht="12.75">
      <c r="F1070" s="17"/>
      <c r="G1070" s="19"/>
      <c r="H1070" s="23"/>
      <c r="I1070" s="4"/>
      <c r="J1070" s="14"/>
    </row>
    <row r="1071" spans="6:10" ht="12.75">
      <c r="F1071" s="17"/>
      <c r="G1071" s="19"/>
      <c r="H1071" s="23"/>
      <c r="I1071" s="4"/>
      <c r="J1071" s="14"/>
    </row>
    <row r="1072" spans="6:10" ht="12.75">
      <c r="F1072" s="17"/>
      <c r="G1072" s="19"/>
      <c r="H1072" s="23"/>
      <c r="I1072" s="4"/>
      <c r="J1072" s="14"/>
    </row>
    <row r="1073" spans="6:10" ht="12.75">
      <c r="F1073" s="17"/>
      <c r="G1073" s="19"/>
      <c r="H1073" s="23"/>
      <c r="I1073" s="4"/>
      <c r="J1073" s="14"/>
    </row>
    <row r="1074" spans="6:10" ht="12.75">
      <c r="F1074" s="17"/>
      <c r="G1074" s="19"/>
      <c r="H1074" s="23"/>
      <c r="I1074" s="4"/>
      <c r="J1074" s="14"/>
    </row>
    <row r="1075" spans="6:10" ht="12.75">
      <c r="F1075" s="17"/>
      <c r="G1075" s="19"/>
      <c r="H1075" s="23"/>
      <c r="I1075" s="4"/>
      <c r="J1075" s="14"/>
    </row>
    <row r="1076" spans="6:10" ht="12.75">
      <c r="F1076" s="17"/>
      <c r="G1076" s="19"/>
      <c r="H1076" s="23"/>
      <c r="I1076" s="4"/>
      <c r="J1076" s="14"/>
    </row>
    <row r="1077" spans="6:10" ht="12.75">
      <c r="F1077" s="17"/>
      <c r="G1077" s="19"/>
      <c r="H1077" s="23"/>
      <c r="I1077" s="4"/>
      <c r="J1077" s="14"/>
    </row>
    <row r="1078" spans="6:10" ht="12.75">
      <c r="F1078" s="17"/>
      <c r="G1078" s="19"/>
      <c r="H1078" s="23"/>
      <c r="I1078" s="4"/>
      <c r="J1078" s="14"/>
    </row>
    <row r="1079" spans="6:10" ht="12.75">
      <c r="F1079" s="17"/>
      <c r="G1079" s="19"/>
      <c r="H1079" s="23"/>
      <c r="I1079" s="4"/>
      <c r="J1079" s="14"/>
    </row>
    <row r="1080" spans="6:10" ht="12.75">
      <c r="F1080" s="17"/>
      <c r="G1080" s="19"/>
      <c r="H1080" s="23"/>
      <c r="I1080" s="4"/>
      <c r="J1080" s="14"/>
    </row>
    <row r="1081" spans="6:10" ht="12.75">
      <c r="F1081" s="17"/>
      <c r="G1081" s="19"/>
      <c r="H1081" s="23"/>
      <c r="I1081" s="4"/>
      <c r="J1081" s="14"/>
    </row>
    <row r="1082" spans="6:10" ht="12.75">
      <c r="F1082" s="17"/>
      <c r="G1082" s="19"/>
      <c r="H1082" s="23"/>
      <c r="I1082" s="4"/>
      <c r="J1082" s="14"/>
    </row>
    <row r="1083" spans="6:10" ht="12.75">
      <c r="F1083" s="17"/>
      <c r="G1083" s="19"/>
      <c r="H1083" s="23"/>
      <c r="I1083" s="4"/>
      <c r="J1083" s="14"/>
    </row>
    <row r="1084" spans="6:10" ht="12.75">
      <c r="F1084" s="17"/>
      <c r="G1084" s="19"/>
      <c r="H1084" s="23"/>
      <c r="I1084" s="4"/>
      <c r="J1084" s="14"/>
    </row>
    <row r="1085" spans="6:10" ht="12.75">
      <c r="F1085" s="17"/>
      <c r="G1085" s="19"/>
      <c r="H1085" s="23"/>
      <c r="I1085" s="4"/>
      <c r="J1085" s="14"/>
    </row>
    <row r="1086" spans="6:10" ht="12.75">
      <c r="F1086" s="17"/>
      <c r="G1086" s="19"/>
      <c r="H1086" s="23"/>
      <c r="I1086" s="4"/>
      <c r="J1086" s="14"/>
    </row>
    <row r="1087" spans="6:10" ht="12.75">
      <c r="F1087" s="17"/>
      <c r="G1087" s="19"/>
      <c r="H1087" s="23"/>
      <c r="I1087" s="4"/>
      <c r="J1087" s="14"/>
    </row>
    <row r="1088" spans="6:10" ht="12.75">
      <c r="F1088" s="17"/>
      <c r="G1088" s="19"/>
      <c r="H1088" s="23"/>
      <c r="I1088" s="4"/>
      <c r="J1088" s="14"/>
    </row>
    <row r="1089" spans="6:10" ht="12.75">
      <c r="F1089" s="17"/>
      <c r="G1089" s="19"/>
      <c r="H1089" s="23"/>
      <c r="I1089" s="4"/>
      <c r="J1089" s="14"/>
    </row>
    <row r="1090" spans="6:10" ht="12.75">
      <c r="F1090" s="17"/>
      <c r="G1090" s="19"/>
      <c r="H1090" s="23"/>
      <c r="I1090" s="4"/>
      <c r="J1090" s="14"/>
    </row>
    <row r="1091" spans="6:10" ht="12.75">
      <c r="F1091" s="17"/>
      <c r="G1091" s="19"/>
      <c r="H1091" s="23"/>
      <c r="I1091" s="4"/>
      <c r="J1091" s="14"/>
    </row>
    <row r="1092" spans="6:10" ht="12.75">
      <c r="F1092" s="17"/>
      <c r="G1092" s="19"/>
      <c r="H1092" s="23"/>
      <c r="I1092" s="4"/>
      <c r="J1092" s="14"/>
    </row>
    <row r="1093" spans="6:10" ht="12.75">
      <c r="F1093" s="17"/>
      <c r="G1093" s="19"/>
      <c r="H1093" s="23"/>
      <c r="I1093" s="4"/>
      <c r="J1093" s="14"/>
    </row>
    <row r="1094" spans="6:10" ht="12.75">
      <c r="F1094" s="17"/>
      <c r="G1094" s="19"/>
      <c r="H1094" s="23"/>
      <c r="I1094" s="4"/>
      <c r="J1094" s="14"/>
    </row>
    <row r="1095" spans="6:10" ht="12.75">
      <c r="F1095" s="17"/>
      <c r="G1095" s="19"/>
      <c r="H1095" s="23"/>
      <c r="I1095" s="4"/>
      <c r="J1095" s="14"/>
    </row>
    <row r="1096" spans="6:10" ht="12.75">
      <c r="F1096" s="17"/>
      <c r="G1096" s="19"/>
      <c r="H1096" s="23"/>
      <c r="I1096" s="4"/>
      <c r="J1096" s="14"/>
    </row>
    <row r="1097" spans="6:10" ht="12.75">
      <c r="F1097" s="17"/>
      <c r="G1097" s="19"/>
      <c r="H1097" s="23"/>
      <c r="I1097" s="4"/>
      <c r="J1097" s="14"/>
    </row>
    <row r="1098" spans="6:10" ht="12.75">
      <c r="F1098" s="17"/>
      <c r="G1098" s="19"/>
      <c r="H1098" s="23"/>
      <c r="I1098" s="4"/>
      <c r="J1098" s="14"/>
    </row>
    <row r="1099" spans="6:10" ht="12.75">
      <c r="F1099" s="17"/>
      <c r="G1099" s="19"/>
      <c r="H1099" s="23"/>
      <c r="I1099" s="4"/>
      <c r="J1099" s="14"/>
    </row>
    <row r="1100" spans="6:10" ht="12.75">
      <c r="F1100" s="17"/>
      <c r="G1100" s="19"/>
      <c r="H1100" s="23"/>
      <c r="I1100" s="4"/>
      <c r="J1100" s="14"/>
    </row>
    <row r="1101" spans="6:10" ht="12.75">
      <c r="F1101" s="17"/>
      <c r="G1101" s="19"/>
      <c r="H1101" s="23"/>
      <c r="I1101" s="4"/>
      <c r="J1101" s="14"/>
    </row>
    <row r="1102" spans="6:10" ht="12.75">
      <c r="F1102" s="17"/>
      <c r="G1102" s="19"/>
      <c r="H1102" s="23"/>
      <c r="I1102" s="4"/>
      <c r="J1102" s="14"/>
    </row>
    <row r="1103" spans="6:10" ht="12.75">
      <c r="F1103" s="17"/>
      <c r="G1103" s="19"/>
      <c r="H1103" s="23"/>
      <c r="I1103" s="4"/>
      <c r="J1103" s="14"/>
    </row>
    <row r="1104" spans="6:10" ht="12.75">
      <c r="F1104" s="17"/>
      <c r="G1104" s="19"/>
      <c r="H1104" s="23"/>
      <c r="I1104" s="4"/>
      <c r="J1104" s="14"/>
    </row>
    <row r="1105" spans="6:10" ht="12.75">
      <c r="F1105" s="17"/>
      <c r="G1105" s="19"/>
      <c r="H1105" s="23"/>
      <c r="I1105" s="4"/>
      <c r="J1105" s="14"/>
    </row>
    <row r="1106" spans="6:10" ht="12.75">
      <c r="F1106" s="17"/>
      <c r="G1106" s="19"/>
      <c r="H1106" s="23"/>
      <c r="I1106" s="4"/>
      <c r="J1106" s="14"/>
    </row>
    <row r="1107" spans="6:10" ht="12.75">
      <c r="F1107" s="17"/>
      <c r="G1107" s="19"/>
      <c r="H1107" s="23"/>
      <c r="I1107" s="4"/>
      <c r="J1107" s="14"/>
    </row>
    <row r="1108" spans="6:10" ht="12.75">
      <c r="F1108" s="17"/>
      <c r="G1108" s="19"/>
      <c r="H1108" s="23"/>
      <c r="I1108" s="4"/>
      <c r="J1108" s="14"/>
    </row>
    <row r="1109" spans="6:10" ht="12.75">
      <c r="F1109" s="17"/>
      <c r="G1109" s="19"/>
      <c r="H1109" s="23"/>
      <c r="I1109" s="4"/>
      <c r="J1109" s="14"/>
    </row>
    <row r="1110" spans="6:10" ht="12.75">
      <c r="F1110" s="17"/>
      <c r="G1110" s="19"/>
      <c r="H1110" s="23"/>
      <c r="I1110" s="4"/>
      <c r="J1110" s="14"/>
    </row>
    <row r="1111" spans="6:10" ht="12.75">
      <c r="F1111" s="17"/>
      <c r="G1111" s="19"/>
      <c r="H1111" s="23"/>
      <c r="I1111" s="4"/>
      <c r="J1111" s="14"/>
    </row>
    <row r="1112" spans="6:10" ht="12.75">
      <c r="F1112" s="17"/>
      <c r="G1112" s="19"/>
      <c r="H1112" s="23"/>
      <c r="I1112" s="4"/>
      <c r="J1112" s="14"/>
    </row>
    <row r="1113" spans="6:10" ht="12.75">
      <c r="F1113" s="17"/>
      <c r="G1113" s="19"/>
      <c r="H1113" s="23"/>
      <c r="I1113" s="4"/>
      <c r="J1113" s="14"/>
    </row>
    <row r="1114" spans="6:10" ht="12.75">
      <c r="F1114" s="17"/>
      <c r="G1114" s="19"/>
      <c r="H1114" s="23"/>
      <c r="I1114" s="4"/>
      <c r="J1114" s="14"/>
    </row>
    <row r="1115" spans="6:10" ht="12.75">
      <c r="F1115" s="17"/>
      <c r="G1115" s="19"/>
      <c r="H1115" s="23"/>
      <c r="I1115" s="4"/>
      <c r="J1115" s="14"/>
    </row>
    <row r="1116" spans="6:10" ht="12.75">
      <c r="F1116" s="17"/>
      <c r="G1116" s="19"/>
      <c r="H1116" s="23"/>
      <c r="I1116" s="4"/>
      <c r="J1116" s="14"/>
    </row>
    <row r="1117" spans="6:10" ht="12.75">
      <c r="F1117" s="17"/>
      <c r="G1117" s="19"/>
      <c r="H1117" s="23"/>
      <c r="I1117" s="4"/>
      <c r="J1117" s="14"/>
    </row>
    <row r="1118" spans="6:10" ht="12.75">
      <c r="F1118" s="17"/>
      <c r="G1118" s="19"/>
      <c r="H1118" s="23"/>
      <c r="I1118" s="4"/>
      <c r="J1118" s="14"/>
    </row>
    <row r="1119" spans="6:10" ht="12.75">
      <c r="F1119" s="17"/>
      <c r="G1119" s="19"/>
      <c r="H1119" s="23"/>
      <c r="I1119" s="4"/>
      <c r="J1119" s="14"/>
    </row>
    <row r="1120" spans="6:10" ht="12.75">
      <c r="F1120" s="17"/>
      <c r="G1120" s="19"/>
      <c r="H1120" s="23"/>
      <c r="I1120" s="4"/>
      <c r="J1120" s="14"/>
    </row>
    <row r="1121" spans="6:10" ht="12.75">
      <c r="F1121" s="17"/>
      <c r="G1121" s="19"/>
      <c r="H1121" s="23"/>
      <c r="I1121" s="4"/>
      <c r="J1121" s="14"/>
    </row>
    <row r="1122" spans="6:10" ht="12.75">
      <c r="F1122" s="17"/>
      <c r="G1122" s="19"/>
      <c r="H1122" s="23"/>
      <c r="I1122" s="4"/>
      <c r="J1122" s="14"/>
    </row>
    <row r="1123" spans="6:10" ht="12.75">
      <c r="F1123" s="17"/>
      <c r="G1123" s="19"/>
      <c r="H1123" s="23"/>
      <c r="I1123" s="4"/>
      <c r="J1123" s="14"/>
    </row>
    <row r="1124" spans="6:10" ht="12.75">
      <c r="F1124" s="17"/>
      <c r="G1124" s="19"/>
      <c r="H1124" s="23"/>
      <c r="I1124" s="4"/>
      <c r="J1124" s="14"/>
    </row>
    <row r="1125" spans="6:10" ht="12.75">
      <c r="F1125" s="17"/>
      <c r="G1125" s="19"/>
      <c r="H1125" s="23"/>
      <c r="I1125" s="4"/>
      <c r="J1125" s="14"/>
    </row>
    <row r="1126" spans="6:10" ht="12.75">
      <c r="F1126" s="17"/>
      <c r="G1126" s="19"/>
      <c r="H1126" s="23"/>
      <c r="I1126" s="4"/>
      <c r="J1126" s="14"/>
    </row>
    <row r="1127" spans="6:10" ht="12.75">
      <c r="F1127" s="17"/>
      <c r="G1127" s="19"/>
      <c r="H1127" s="23"/>
      <c r="I1127" s="4"/>
      <c r="J1127" s="14"/>
    </row>
    <row r="1128" spans="6:10" ht="12.75">
      <c r="F1128" s="17"/>
      <c r="G1128" s="19"/>
      <c r="H1128" s="23"/>
      <c r="I1128" s="4"/>
      <c r="J1128" s="14"/>
    </row>
    <row r="1129" spans="6:10" ht="12.75">
      <c r="F1129" s="17"/>
      <c r="G1129" s="19"/>
      <c r="H1129" s="23"/>
      <c r="I1129" s="4"/>
      <c r="J1129" s="14"/>
    </row>
    <row r="1130" spans="6:10" ht="12.75">
      <c r="F1130" s="17"/>
      <c r="G1130" s="19"/>
      <c r="H1130" s="23"/>
      <c r="I1130" s="4"/>
      <c r="J1130" s="14"/>
    </row>
    <row r="1131" spans="6:10" ht="12.75">
      <c r="F1131" s="17"/>
      <c r="G1131" s="19"/>
      <c r="H1131" s="23"/>
      <c r="I1131" s="4"/>
      <c r="J1131" s="14"/>
    </row>
    <row r="1132" spans="6:10" ht="12.75">
      <c r="F1132" s="17"/>
      <c r="G1132" s="19"/>
      <c r="H1132" s="23"/>
      <c r="I1132" s="4"/>
      <c r="J1132" s="14"/>
    </row>
    <row r="1133" spans="6:10" ht="12.75">
      <c r="F1133" s="17"/>
      <c r="G1133" s="19"/>
      <c r="H1133" s="23"/>
      <c r="I1133" s="4"/>
      <c r="J1133" s="14"/>
    </row>
    <row r="1134" spans="6:10" ht="12.75">
      <c r="F1134" s="17"/>
      <c r="G1134" s="19"/>
      <c r="H1134" s="23"/>
      <c r="I1134" s="4"/>
      <c r="J1134" s="14"/>
    </row>
    <row r="1135" spans="6:10" ht="12.75">
      <c r="F1135" s="17"/>
      <c r="G1135" s="19"/>
      <c r="H1135" s="23"/>
      <c r="I1135" s="4"/>
      <c r="J1135" s="14"/>
    </row>
    <row r="1136" spans="6:10" ht="12.75">
      <c r="F1136" s="17"/>
      <c r="G1136" s="19"/>
      <c r="H1136" s="23"/>
      <c r="I1136" s="4"/>
      <c r="J1136" s="14"/>
    </row>
    <row r="1137" spans="6:10" ht="12.75">
      <c r="F1137" s="17"/>
      <c r="G1137" s="19"/>
      <c r="H1137" s="23"/>
      <c r="I1137" s="4"/>
      <c r="J1137" s="14"/>
    </row>
    <row r="1138" spans="6:10" ht="12.75">
      <c r="F1138" s="17"/>
      <c r="G1138" s="19"/>
      <c r="H1138" s="23"/>
      <c r="I1138" s="4"/>
      <c r="J1138" s="14"/>
    </row>
    <row r="1139" spans="6:10" ht="12.75">
      <c r="F1139" s="17"/>
      <c r="G1139" s="19"/>
      <c r="H1139" s="23"/>
      <c r="I1139" s="4"/>
      <c r="J1139" s="14"/>
    </row>
    <row r="1140" spans="6:10" ht="12.75">
      <c r="F1140" s="17"/>
      <c r="G1140" s="19"/>
      <c r="H1140" s="23"/>
      <c r="I1140" s="4"/>
      <c r="J1140" s="14"/>
    </row>
    <row r="1141" spans="6:10" ht="12.75">
      <c r="F1141" s="17"/>
      <c r="G1141" s="19"/>
      <c r="H1141" s="23"/>
      <c r="I1141" s="4"/>
      <c r="J1141" s="14"/>
    </row>
    <row r="1142" spans="6:10" ht="12.75">
      <c r="F1142" s="17"/>
      <c r="G1142" s="19"/>
      <c r="H1142" s="23"/>
      <c r="I1142" s="4"/>
      <c r="J1142" s="14"/>
    </row>
    <row r="1143" spans="6:10" ht="12.75">
      <c r="F1143" s="17"/>
      <c r="G1143" s="19"/>
      <c r="H1143" s="23"/>
      <c r="I1143" s="4"/>
      <c r="J1143" s="14"/>
    </row>
    <row r="1144" spans="6:10" ht="12.75">
      <c r="F1144" s="17"/>
      <c r="G1144" s="19"/>
      <c r="H1144" s="23"/>
      <c r="I1144" s="4"/>
      <c r="J1144" s="14"/>
    </row>
    <row r="1145" spans="6:10" ht="12.75">
      <c r="F1145" s="17"/>
      <c r="G1145" s="19"/>
      <c r="H1145" s="23"/>
      <c r="I1145" s="4"/>
      <c r="J1145" s="14"/>
    </row>
    <row r="1146" spans="6:10" ht="12.75">
      <c r="F1146" s="17"/>
      <c r="G1146" s="19"/>
      <c r="H1146" s="23"/>
      <c r="I1146" s="4"/>
      <c r="J1146" s="14"/>
    </row>
    <row r="1147" spans="6:10" ht="12.75">
      <c r="F1147" s="17"/>
      <c r="G1147" s="19"/>
      <c r="H1147" s="23"/>
      <c r="I1147" s="4"/>
      <c r="J1147" s="14"/>
    </row>
    <row r="1148" spans="6:10" ht="12.75">
      <c r="F1148" s="17"/>
      <c r="G1148" s="19"/>
      <c r="H1148" s="23"/>
      <c r="I1148" s="4"/>
      <c r="J1148" s="14"/>
    </row>
    <row r="1149" spans="6:10" ht="12.75">
      <c r="F1149" s="17"/>
      <c r="G1149" s="19"/>
      <c r="H1149" s="23"/>
      <c r="I1149" s="4"/>
      <c r="J1149" s="14"/>
    </row>
    <row r="1150" spans="6:10" ht="12.75">
      <c r="F1150" s="17"/>
      <c r="G1150" s="19"/>
      <c r="H1150" s="23"/>
      <c r="I1150" s="4"/>
      <c r="J1150" s="14"/>
    </row>
    <row r="1151" spans="6:10" ht="12.75">
      <c r="F1151" s="17"/>
      <c r="G1151" s="19"/>
      <c r="H1151" s="23"/>
      <c r="I1151" s="4"/>
      <c r="J1151" s="14"/>
    </row>
    <row r="1152" spans="6:10" ht="12.75">
      <c r="F1152" s="17"/>
      <c r="G1152" s="19"/>
      <c r="H1152" s="23"/>
      <c r="I1152" s="4"/>
      <c r="J1152" s="14"/>
    </row>
    <row r="1153" spans="6:10" ht="12.75">
      <c r="F1153" s="17"/>
      <c r="G1153" s="19"/>
      <c r="H1153" s="23"/>
      <c r="I1153" s="4"/>
      <c r="J1153" s="14"/>
    </row>
    <row r="1154" spans="6:10" ht="12.75">
      <c r="F1154" s="17"/>
      <c r="G1154" s="19"/>
      <c r="H1154" s="23"/>
      <c r="I1154" s="4"/>
      <c r="J1154" s="14"/>
    </row>
    <row r="1155" spans="6:10" ht="12.75">
      <c r="F1155" s="17"/>
      <c r="G1155" s="19"/>
      <c r="H1155" s="23"/>
      <c r="I1155" s="4"/>
      <c r="J1155" s="14"/>
    </row>
    <row r="1156" spans="6:10" ht="12.75">
      <c r="F1156" s="17"/>
      <c r="G1156" s="19"/>
      <c r="H1156" s="23"/>
      <c r="I1156" s="4"/>
      <c r="J1156" s="14"/>
    </row>
    <row r="1157" spans="6:10" ht="12.75">
      <c r="F1157" s="17"/>
      <c r="G1157" s="19"/>
      <c r="H1157" s="23"/>
      <c r="I1157" s="4"/>
      <c r="J1157" s="14"/>
    </row>
    <row r="1158" spans="6:10" ht="12.75">
      <c r="F1158" s="17"/>
      <c r="G1158" s="19"/>
      <c r="H1158" s="23"/>
      <c r="I1158" s="4"/>
      <c r="J1158" s="14"/>
    </row>
    <row r="1159" spans="6:10" ht="12.75">
      <c r="F1159" s="17"/>
      <c r="G1159" s="19"/>
      <c r="H1159" s="23"/>
      <c r="I1159" s="4"/>
      <c r="J1159" s="14"/>
    </row>
    <row r="1160" spans="6:10" ht="12.75">
      <c r="F1160" s="17"/>
      <c r="G1160" s="19"/>
      <c r="H1160" s="23"/>
      <c r="I1160" s="4"/>
      <c r="J1160" s="14"/>
    </row>
    <row r="1161" spans="6:10" ht="12.75">
      <c r="F1161" s="17"/>
      <c r="G1161" s="19"/>
      <c r="H1161" s="23"/>
      <c r="I1161" s="4"/>
      <c r="J1161" s="14"/>
    </row>
    <row r="1162" spans="6:10" ht="12.75">
      <c r="F1162" s="17"/>
      <c r="G1162" s="19"/>
      <c r="H1162" s="23"/>
      <c r="I1162" s="4"/>
      <c r="J1162" s="14"/>
    </row>
    <row r="1163" spans="6:10" ht="12.75">
      <c r="F1163" s="17"/>
      <c r="G1163" s="19"/>
      <c r="H1163" s="23"/>
      <c r="I1163" s="4"/>
      <c r="J1163" s="14"/>
    </row>
    <row r="1164" spans="6:10" ht="12.75">
      <c r="F1164" s="17"/>
      <c r="G1164" s="19"/>
      <c r="H1164" s="23"/>
      <c r="I1164" s="4"/>
      <c r="J1164" s="14"/>
    </row>
    <row r="1165" spans="6:10" ht="12.75">
      <c r="F1165" s="17"/>
      <c r="G1165" s="19"/>
      <c r="H1165" s="23"/>
      <c r="I1165" s="4"/>
      <c r="J1165" s="14"/>
    </row>
    <row r="1166" spans="6:10" ht="12.75">
      <c r="F1166" s="17"/>
      <c r="G1166" s="19"/>
      <c r="H1166" s="23"/>
      <c r="I1166" s="4"/>
      <c r="J1166" s="14"/>
    </row>
    <row r="1167" spans="6:10" ht="12.75">
      <c r="F1167" s="17"/>
      <c r="G1167" s="19"/>
      <c r="H1167" s="23"/>
      <c r="I1167" s="4"/>
      <c r="J1167" s="14"/>
    </row>
    <row r="1168" spans="6:10" ht="12.75">
      <c r="F1168" s="17"/>
      <c r="G1168" s="19"/>
      <c r="H1168" s="23"/>
      <c r="I1168" s="4"/>
      <c r="J1168" s="14"/>
    </row>
    <row r="1169" spans="6:10" ht="12.75">
      <c r="F1169" s="17"/>
      <c r="G1169" s="19"/>
      <c r="H1169" s="23"/>
      <c r="I1169" s="4"/>
      <c r="J1169" s="14"/>
    </row>
    <row r="1170" spans="6:10" ht="12.75">
      <c r="F1170" s="17"/>
      <c r="G1170" s="19"/>
      <c r="H1170" s="23"/>
      <c r="I1170" s="4"/>
      <c r="J1170" s="14"/>
    </row>
    <row r="1171" spans="6:10" ht="12.75">
      <c r="F1171" s="17"/>
      <c r="G1171" s="19"/>
      <c r="H1171" s="23"/>
      <c r="I1171" s="4"/>
      <c r="J1171" s="14"/>
    </row>
    <row r="1172" spans="6:10" ht="12.75">
      <c r="F1172" s="17"/>
      <c r="G1172" s="19"/>
      <c r="H1172" s="23"/>
      <c r="I1172" s="4"/>
      <c r="J1172" s="14"/>
    </row>
    <row r="1173" spans="6:10" ht="12.75">
      <c r="F1173" s="17"/>
      <c r="G1173" s="19"/>
      <c r="H1173" s="23"/>
      <c r="I1173" s="4"/>
      <c r="J1173" s="14"/>
    </row>
    <row r="1174" spans="6:10" ht="12.75">
      <c r="F1174" s="17"/>
      <c r="G1174" s="19"/>
      <c r="H1174" s="23"/>
      <c r="I1174" s="4"/>
      <c r="J1174" s="14"/>
    </row>
    <row r="1175" spans="6:10" ht="12.75">
      <c r="F1175" s="17"/>
      <c r="G1175" s="19"/>
      <c r="H1175" s="23"/>
      <c r="I1175" s="4"/>
      <c r="J1175" s="14"/>
    </row>
    <row r="1176" spans="6:10" ht="12.75">
      <c r="F1176" s="17"/>
      <c r="G1176" s="19"/>
      <c r="H1176" s="23"/>
      <c r="I1176" s="4"/>
      <c r="J1176" s="14"/>
    </row>
    <row r="1177" spans="6:10" ht="12.75">
      <c r="F1177" s="17"/>
      <c r="G1177" s="19"/>
      <c r="H1177" s="23"/>
      <c r="I1177" s="4"/>
      <c r="J1177" s="14"/>
    </row>
    <row r="1178" spans="6:10" ht="12.75">
      <c r="F1178" s="17"/>
      <c r="G1178" s="19"/>
      <c r="H1178" s="23"/>
      <c r="I1178" s="4"/>
      <c r="J1178" s="14"/>
    </row>
    <row r="1179" spans="6:10" ht="12.75">
      <c r="F1179" s="17"/>
      <c r="G1179" s="19"/>
      <c r="H1179" s="23"/>
      <c r="I1179" s="4"/>
      <c r="J1179" s="14"/>
    </row>
    <row r="1180" spans="6:10" ht="12.75">
      <c r="F1180" s="17"/>
      <c r="G1180" s="19"/>
      <c r="H1180" s="23"/>
      <c r="I1180" s="4"/>
      <c r="J1180" s="14"/>
    </row>
    <row r="1181" spans="6:10" ht="12.75">
      <c r="F1181" s="17"/>
      <c r="G1181" s="19"/>
      <c r="H1181" s="23"/>
      <c r="I1181" s="4"/>
      <c r="J1181" s="14"/>
    </row>
    <row r="1182" spans="6:10" ht="12.75">
      <c r="F1182" s="17"/>
      <c r="G1182" s="19"/>
      <c r="H1182" s="23"/>
      <c r="I1182" s="4"/>
      <c r="J1182" s="14"/>
    </row>
    <row r="1183" spans="6:10" ht="12.75">
      <c r="F1183" s="17"/>
      <c r="G1183" s="19"/>
      <c r="H1183" s="23"/>
      <c r="I1183" s="4"/>
      <c r="J1183" s="14"/>
    </row>
    <row r="1184" spans="6:10" ht="12.75">
      <c r="F1184" s="17"/>
      <c r="G1184" s="19"/>
      <c r="H1184" s="23"/>
      <c r="I1184" s="4"/>
      <c r="J1184" s="14"/>
    </row>
    <row r="1185" spans="6:10" ht="12.75">
      <c r="F1185" s="17"/>
      <c r="G1185" s="19"/>
      <c r="H1185" s="23"/>
      <c r="I1185" s="4"/>
      <c r="J1185" s="14"/>
    </row>
    <row r="1186" spans="6:10" ht="12.75">
      <c r="F1186" s="17"/>
      <c r="G1186" s="19"/>
      <c r="H1186" s="23"/>
      <c r="I1186" s="4"/>
      <c r="J1186" s="14"/>
    </row>
    <row r="1187" spans="6:10" ht="12.75">
      <c r="F1187" s="17"/>
      <c r="G1187" s="19"/>
      <c r="H1187" s="23"/>
      <c r="I1187" s="4"/>
      <c r="J1187" s="14"/>
    </row>
    <row r="1188" spans="6:10" ht="12.75">
      <c r="F1188" s="17"/>
      <c r="G1188" s="19"/>
      <c r="H1188" s="23"/>
      <c r="I1188" s="4"/>
      <c r="J1188" s="14"/>
    </row>
    <row r="1189" spans="6:10" ht="12.75">
      <c r="F1189" s="17"/>
      <c r="G1189" s="19"/>
      <c r="H1189" s="23"/>
      <c r="I1189" s="4"/>
      <c r="J1189" s="14"/>
    </row>
    <row r="1190" spans="6:10" ht="12.75">
      <c r="F1190" s="17"/>
      <c r="G1190" s="19"/>
      <c r="H1190" s="23"/>
      <c r="I1190" s="4"/>
      <c r="J1190" s="14"/>
    </row>
    <row r="1191" spans="6:10" ht="12.75">
      <c r="F1191" s="17"/>
      <c r="G1191" s="19"/>
      <c r="H1191" s="23"/>
      <c r="I1191" s="4"/>
      <c r="J1191" s="14"/>
    </row>
    <row r="1192" spans="6:10" ht="12.75">
      <c r="F1192" s="17"/>
      <c r="G1192" s="19"/>
      <c r="H1192" s="23"/>
      <c r="I1192" s="4"/>
      <c r="J1192" s="14"/>
    </row>
    <row r="1193" spans="6:10" ht="12.75">
      <c r="F1193" s="17"/>
      <c r="G1193" s="19"/>
      <c r="H1193" s="23"/>
      <c r="I1193" s="4"/>
      <c r="J1193" s="14"/>
    </row>
    <row r="1194" spans="6:10" ht="12.75">
      <c r="F1194" s="17"/>
      <c r="G1194" s="19"/>
      <c r="H1194" s="23"/>
      <c r="I1194" s="4"/>
      <c r="J1194" s="14"/>
    </row>
    <row r="1195" spans="6:10" ht="12.75">
      <c r="F1195" s="17"/>
      <c r="G1195" s="19"/>
      <c r="H1195" s="23"/>
      <c r="I1195" s="4"/>
      <c r="J1195" s="14"/>
    </row>
    <row r="1196" spans="6:10" ht="12.75">
      <c r="F1196" s="17"/>
      <c r="G1196" s="19"/>
      <c r="H1196" s="23"/>
      <c r="I1196" s="4"/>
      <c r="J1196" s="14"/>
    </row>
    <row r="1197" spans="6:10" ht="12.75">
      <c r="F1197" s="17"/>
      <c r="G1197" s="19"/>
      <c r="H1197" s="23"/>
      <c r="I1197" s="4"/>
      <c r="J1197" s="14"/>
    </row>
    <row r="1198" spans="6:10" ht="12.75">
      <c r="F1198" s="17"/>
      <c r="G1198" s="19"/>
      <c r="H1198" s="23"/>
      <c r="I1198" s="4"/>
      <c r="J1198" s="14"/>
    </row>
    <row r="1199" spans="6:10" ht="12.75">
      <c r="F1199" s="17"/>
      <c r="G1199" s="19"/>
      <c r="H1199" s="23"/>
      <c r="I1199" s="4"/>
      <c r="J1199" s="14"/>
    </row>
    <row r="1200" spans="6:10" ht="12.75">
      <c r="F1200" s="17"/>
      <c r="G1200" s="19"/>
      <c r="H1200" s="23"/>
      <c r="I1200" s="4"/>
      <c r="J1200" s="14"/>
    </row>
    <row r="1201" spans="6:10" ht="12.75">
      <c r="F1201" s="17"/>
      <c r="G1201" s="19"/>
      <c r="H1201" s="23"/>
      <c r="I1201" s="4"/>
      <c r="J1201" s="14"/>
    </row>
    <row r="1202" spans="6:10" ht="12.75">
      <c r="F1202" s="17"/>
      <c r="G1202" s="19"/>
      <c r="H1202" s="23"/>
      <c r="I1202" s="4"/>
      <c r="J1202" s="14"/>
    </row>
    <row r="1203" spans="6:10" ht="12.75">
      <c r="F1203" s="17"/>
      <c r="G1203" s="19"/>
      <c r="H1203" s="23"/>
      <c r="I1203" s="4"/>
      <c r="J1203" s="14"/>
    </row>
    <row r="1204" spans="6:10" ht="12.75">
      <c r="F1204" s="17"/>
      <c r="G1204" s="19"/>
      <c r="H1204" s="23"/>
      <c r="I1204" s="4"/>
      <c r="J1204" s="14"/>
    </row>
    <row r="1205" spans="6:10" ht="12.75">
      <c r="F1205" s="17"/>
      <c r="G1205" s="19"/>
      <c r="H1205" s="23"/>
      <c r="I1205" s="4"/>
      <c r="J1205" s="14"/>
    </row>
    <row r="1206" spans="6:10" ht="12.75">
      <c r="F1206" s="17"/>
      <c r="G1206" s="19"/>
      <c r="H1206" s="23"/>
      <c r="I1206" s="4"/>
      <c r="J1206" s="14"/>
    </row>
    <row r="1207" spans="6:10" ht="12.75">
      <c r="F1207" s="17"/>
      <c r="G1207" s="19"/>
      <c r="H1207" s="23"/>
      <c r="I1207" s="4"/>
      <c r="J1207" s="14"/>
    </row>
    <row r="1208" spans="6:10" ht="12.75">
      <c r="F1208" s="17"/>
      <c r="G1208" s="19"/>
      <c r="H1208" s="23"/>
      <c r="I1208" s="4"/>
      <c r="J1208" s="14"/>
    </row>
    <row r="1209" spans="6:10" ht="12.75">
      <c r="F1209" s="17"/>
      <c r="G1209" s="19"/>
      <c r="H1209" s="23"/>
      <c r="I1209" s="4"/>
      <c r="J1209" s="14"/>
    </row>
    <row r="1210" spans="6:10" ht="12.75">
      <c r="F1210" s="17"/>
      <c r="G1210" s="19"/>
      <c r="H1210" s="23"/>
      <c r="I1210" s="4"/>
      <c r="J1210" s="14"/>
    </row>
    <row r="1211" spans="6:10" ht="12.75">
      <c r="F1211" s="17"/>
      <c r="G1211" s="19"/>
      <c r="H1211" s="23"/>
      <c r="I1211" s="4"/>
      <c r="J1211" s="14"/>
    </row>
    <row r="1212" spans="6:10" ht="12.75">
      <c r="F1212" s="17"/>
      <c r="G1212" s="19"/>
      <c r="H1212" s="23"/>
      <c r="I1212" s="4"/>
      <c r="J1212" s="14"/>
    </row>
    <row r="1213" spans="6:10" ht="12.75">
      <c r="F1213" s="17"/>
      <c r="G1213" s="19"/>
      <c r="H1213" s="23"/>
      <c r="I1213" s="4"/>
      <c r="J1213" s="14"/>
    </row>
    <row r="1214" spans="6:10" ht="12.75">
      <c r="F1214" s="17"/>
      <c r="G1214" s="19"/>
      <c r="H1214" s="23"/>
      <c r="I1214" s="4"/>
      <c r="J1214" s="14"/>
    </row>
    <row r="1215" spans="6:10" ht="12.75">
      <c r="F1215" s="17"/>
      <c r="G1215" s="19"/>
      <c r="H1215" s="23"/>
      <c r="I1215" s="4"/>
      <c r="J1215" s="14"/>
    </row>
    <row r="1216" spans="6:10" ht="12.75">
      <c r="F1216" s="17"/>
      <c r="G1216" s="19"/>
      <c r="H1216" s="23"/>
      <c r="I1216" s="4"/>
      <c r="J1216" s="14"/>
    </row>
    <row r="1217" spans="6:10" ht="12.75">
      <c r="F1217" s="17"/>
      <c r="G1217" s="19"/>
      <c r="H1217" s="23"/>
      <c r="I1217" s="4"/>
      <c r="J1217" s="14"/>
    </row>
    <row r="1218" spans="6:10" ht="12.75">
      <c r="F1218" s="17"/>
      <c r="G1218" s="19"/>
      <c r="H1218" s="23"/>
      <c r="I1218" s="4"/>
      <c r="J1218" s="14"/>
    </row>
    <row r="1219" spans="6:10" ht="12.75">
      <c r="F1219" s="17"/>
      <c r="G1219" s="19"/>
      <c r="H1219" s="23"/>
      <c r="I1219" s="4"/>
      <c r="J1219" s="14"/>
    </row>
    <row r="1220" spans="6:10" ht="12.75">
      <c r="F1220" s="17"/>
      <c r="G1220" s="19"/>
      <c r="H1220" s="23"/>
      <c r="I1220" s="4"/>
      <c r="J1220" s="14"/>
    </row>
    <row r="1221" spans="6:10" ht="12.75">
      <c r="F1221" s="17"/>
      <c r="G1221" s="19"/>
      <c r="H1221" s="23"/>
      <c r="I1221" s="4"/>
      <c r="J1221" s="14"/>
    </row>
    <row r="1222" spans="6:10" ht="12.75">
      <c r="F1222" s="17"/>
      <c r="G1222" s="19"/>
      <c r="H1222" s="23"/>
      <c r="I1222" s="4"/>
      <c r="J1222" s="14"/>
    </row>
    <row r="1223" spans="6:10" ht="12.75">
      <c r="F1223" s="17"/>
      <c r="G1223" s="19"/>
      <c r="H1223" s="23"/>
      <c r="I1223" s="4"/>
      <c r="J1223" s="14"/>
    </row>
    <row r="1224" spans="6:10" ht="12.75">
      <c r="F1224" s="17"/>
      <c r="G1224" s="19"/>
      <c r="H1224" s="23"/>
      <c r="I1224" s="4"/>
      <c r="J1224" s="14"/>
    </row>
    <row r="1225" spans="6:10" ht="12.75">
      <c r="F1225" s="17"/>
      <c r="G1225" s="19"/>
      <c r="H1225" s="23"/>
      <c r="I1225" s="4"/>
      <c r="J1225" s="14"/>
    </row>
    <row r="1226" spans="6:10" ht="12.75">
      <c r="F1226" s="17"/>
      <c r="G1226" s="19"/>
      <c r="H1226" s="23"/>
      <c r="I1226" s="4"/>
      <c r="J1226" s="14"/>
    </row>
    <row r="1227" spans="6:10" ht="12.75">
      <c r="F1227" s="17"/>
      <c r="G1227" s="19"/>
      <c r="H1227" s="23"/>
      <c r="I1227" s="4"/>
      <c r="J1227" s="14"/>
    </row>
    <row r="1228" spans="6:10" ht="12.75">
      <c r="F1228" s="17"/>
      <c r="G1228" s="19"/>
      <c r="H1228" s="23"/>
      <c r="I1228" s="4"/>
      <c r="J1228" s="14"/>
    </row>
    <row r="1229" spans="6:10" ht="12.75">
      <c r="F1229" s="17"/>
      <c r="G1229" s="19"/>
      <c r="H1229" s="23"/>
      <c r="I1229" s="4"/>
      <c r="J1229" s="14"/>
    </row>
    <row r="1230" spans="6:10" ht="12.75">
      <c r="F1230" s="17"/>
      <c r="G1230" s="19"/>
      <c r="H1230" s="23"/>
      <c r="I1230" s="4"/>
      <c r="J1230" s="14"/>
    </row>
    <row r="1231" spans="6:10" ht="12.75">
      <c r="F1231" s="17"/>
      <c r="G1231" s="19"/>
      <c r="H1231" s="23"/>
      <c r="I1231" s="4"/>
      <c r="J1231" s="14"/>
    </row>
    <row r="1232" spans="6:10" ht="12.75">
      <c r="F1232" s="17"/>
      <c r="G1232" s="19"/>
      <c r="H1232" s="23"/>
      <c r="I1232" s="4"/>
      <c r="J1232" s="14"/>
    </row>
    <row r="1233" spans="6:10" ht="12.75">
      <c r="F1233" s="17"/>
      <c r="G1233" s="19"/>
      <c r="H1233" s="23"/>
      <c r="I1233" s="4"/>
      <c r="J1233" s="14"/>
    </row>
    <row r="1234" spans="6:10" ht="12.75">
      <c r="F1234" s="17"/>
      <c r="G1234" s="19"/>
      <c r="H1234" s="23"/>
      <c r="I1234" s="4"/>
      <c r="J1234" s="14"/>
    </row>
    <row r="1235" spans="6:10" ht="12.75">
      <c r="F1235" s="17"/>
      <c r="G1235" s="19"/>
      <c r="H1235" s="23"/>
      <c r="I1235" s="4"/>
      <c r="J1235" s="14"/>
    </row>
    <row r="1236" spans="6:10" ht="12.75">
      <c r="F1236" s="17"/>
      <c r="G1236" s="19"/>
      <c r="H1236" s="23"/>
      <c r="I1236" s="4"/>
      <c r="J1236" s="14"/>
    </row>
    <row r="1237" spans="6:10" ht="12.75">
      <c r="F1237" s="17"/>
      <c r="G1237" s="19"/>
      <c r="H1237" s="23"/>
      <c r="I1237" s="4"/>
      <c r="J1237" s="14"/>
    </row>
    <row r="1238" spans="6:10" ht="12.75">
      <c r="F1238" s="17"/>
      <c r="G1238" s="19"/>
      <c r="H1238" s="23"/>
      <c r="I1238" s="4"/>
      <c r="J1238" s="14"/>
    </row>
    <row r="1239" spans="6:10" ht="12.75">
      <c r="F1239" s="17"/>
      <c r="G1239" s="19"/>
      <c r="H1239" s="23"/>
      <c r="I1239" s="4"/>
      <c r="J1239" s="14"/>
    </row>
    <row r="1240" spans="6:10" ht="12.75">
      <c r="F1240" s="17"/>
      <c r="G1240" s="19"/>
      <c r="H1240" s="23"/>
      <c r="I1240" s="4"/>
      <c r="J1240" s="14"/>
    </row>
    <row r="1241" spans="6:10" ht="12.75">
      <c r="F1241" s="17"/>
      <c r="G1241" s="19"/>
      <c r="H1241" s="23"/>
      <c r="I1241" s="4"/>
      <c r="J1241" s="14"/>
    </row>
    <row r="1242" spans="6:10" ht="12.75">
      <c r="F1242" s="17"/>
      <c r="G1242" s="19"/>
      <c r="H1242" s="23"/>
      <c r="I1242" s="4"/>
      <c r="J1242" s="14"/>
    </row>
    <row r="1243" spans="6:10" ht="12.75">
      <c r="F1243" s="17"/>
      <c r="G1243" s="19"/>
      <c r="H1243" s="23"/>
      <c r="I1243" s="4"/>
      <c r="J1243" s="14"/>
    </row>
    <row r="1244" spans="6:10" ht="12.75">
      <c r="F1244" s="17"/>
      <c r="G1244" s="19"/>
      <c r="H1244" s="23"/>
      <c r="I1244" s="4"/>
      <c r="J1244" s="14"/>
    </row>
    <row r="1245" spans="6:10" ht="12.75">
      <c r="F1245" s="17"/>
      <c r="G1245" s="19"/>
      <c r="H1245" s="23"/>
      <c r="I1245" s="4"/>
      <c r="J1245" s="14"/>
    </row>
    <row r="1246" spans="6:10" ht="12.75">
      <c r="F1246" s="17"/>
      <c r="G1246" s="19"/>
      <c r="H1246" s="23"/>
      <c r="I1246" s="4"/>
      <c r="J1246" s="14"/>
    </row>
    <row r="1247" spans="6:10" ht="12.75">
      <c r="F1247" s="17"/>
      <c r="G1247" s="19"/>
      <c r="H1247" s="23"/>
      <c r="I1247" s="4"/>
      <c r="J1247" s="14"/>
    </row>
    <row r="1248" spans="6:10" ht="12.75">
      <c r="F1248" s="17"/>
      <c r="G1248" s="19"/>
      <c r="H1248" s="23"/>
      <c r="I1248" s="4"/>
      <c r="J1248" s="14"/>
    </row>
    <row r="1249" spans="6:10" ht="12.75">
      <c r="F1249" s="17"/>
      <c r="G1249" s="19"/>
      <c r="H1249" s="23"/>
      <c r="I1249" s="4"/>
      <c r="J1249" s="14"/>
    </row>
    <row r="1250" spans="6:10" ht="12.75">
      <c r="F1250" s="17"/>
      <c r="G1250" s="19"/>
      <c r="H1250" s="23"/>
      <c r="I1250" s="4"/>
      <c r="J1250" s="14"/>
    </row>
    <row r="1251" spans="6:10" ht="12.75">
      <c r="F1251" s="17"/>
      <c r="G1251" s="19"/>
      <c r="H1251" s="23"/>
      <c r="I1251" s="4"/>
      <c r="J1251" s="14"/>
    </row>
    <row r="1252" spans="6:10" ht="12.75">
      <c r="F1252" s="17"/>
      <c r="G1252" s="19"/>
      <c r="H1252" s="23"/>
      <c r="I1252" s="4"/>
      <c r="J1252" s="14"/>
    </row>
    <row r="1253" spans="6:10" ht="12.75">
      <c r="F1253" s="17"/>
      <c r="G1253" s="19"/>
      <c r="H1253" s="23"/>
      <c r="I1253" s="4"/>
      <c r="J1253" s="14"/>
    </row>
    <row r="1254" spans="6:10" ht="12.75">
      <c r="F1254" s="17"/>
      <c r="G1254" s="19"/>
      <c r="H1254" s="23"/>
      <c r="I1254" s="4"/>
      <c r="J1254" s="14"/>
    </row>
    <row r="1255" spans="6:10" ht="12.75">
      <c r="F1255" s="17"/>
      <c r="G1255" s="19"/>
      <c r="H1255" s="23"/>
      <c r="I1255" s="4"/>
      <c r="J1255" s="14"/>
    </row>
    <row r="1256" spans="6:10" ht="12.75">
      <c r="F1256" s="17"/>
      <c r="G1256" s="19"/>
      <c r="H1256" s="23"/>
      <c r="I1256" s="4"/>
      <c r="J1256" s="14"/>
    </row>
    <row r="1257" spans="6:10" ht="12.75">
      <c r="F1257" s="17"/>
      <c r="G1257" s="19"/>
      <c r="H1257" s="23"/>
      <c r="I1257" s="4"/>
      <c r="J1257" s="14"/>
    </row>
    <row r="1258" spans="6:10" ht="12.75">
      <c r="F1258" s="17"/>
      <c r="G1258" s="19"/>
      <c r="H1258" s="23"/>
      <c r="I1258" s="4"/>
      <c r="J1258" s="14"/>
    </row>
    <row r="1259" spans="6:10" ht="12.75">
      <c r="F1259" s="17"/>
      <c r="G1259" s="19"/>
      <c r="H1259" s="23"/>
      <c r="I1259" s="4"/>
      <c r="J1259" s="14"/>
    </row>
    <row r="1260" spans="6:10" ht="12.75">
      <c r="F1260" s="17"/>
      <c r="G1260" s="19"/>
      <c r="H1260" s="23"/>
      <c r="I1260" s="4"/>
      <c r="J1260" s="14"/>
    </row>
    <row r="1261" spans="6:10" ht="12.75">
      <c r="F1261" s="17"/>
      <c r="G1261" s="19"/>
      <c r="H1261" s="23"/>
      <c r="I1261" s="4"/>
      <c r="J1261" s="14"/>
    </row>
    <row r="1262" spans="6:10" ht="12.75">
      <c r="F1262" s="17"/>
      <c r="G1262" s="19"/>
      <c r="H1262" s="23"/>
      <c r="I1262" s="4"/>
      <c r="J1262" s="14"/>
    </row>
    <row r="1263" spans="6:10" ht="12.75">
      <c r="F1263" s="17"/>
      <c r="G1263" s="19"/>
      <c r="H1263" s="23"/>
      <c r="I1263" s="4"/>
      <c r="J1263" s="14"/>
    </row>
    <row r="1264" spans="6:10" ht="12.75">
      <c r="F1264" s="17"/>
      <c r="G1264" s="19"/>
      <c r="H1264" s="23"/>
      <c r="I1264" s="4"/>
      <c r="J1264" s="14"/>
    </row>
    <row r="1265" spans="6:10" ht="12.75">
      <c r="F1265" s="17"/>
      <c r="G1265" s="19"/>
      <c r="H1265" s="23"/>
      <c r="I1265" s="4"/>
      <c r="J1265" s="14"/>
    </row>
    <row r="1266" spans="6:10" ht="12.75">
      <c r="F1266" s="17"/>
      <c r="G1266" s="19"/>
      <c r="H1266" s="23"/>
      <c r="I1266" s="4"/>
      <c r="J1266" s="14"/>
    </row>
    <row r="1267" spans="6:10" ht="12.75">
      <c r="F1267" s="17"/>
      <c r="G1267" s="19"/>
      <c r="H1267" s="23"/>
      <c r="I1267" s="4"/>
      <c r="J1267" s="14"/>
    </row>
    <row r="1268" spans="6:10" ht="12.75">
      <c r="F1268" s="17"/>
      <c r="G1268" s="19"/>
      <c r="H1268" s="23"/>
      <c r="I1268" s="4"/>
      <c r="J1268" s="14"/>
    </row>
    <row r="1269" spans="6:10" ht="12.75">
      <c r="F1269" s="17"/>
      <c r="G1269" s="19"/>
      <c r="H1269" s="23"/>
      <c r="I1269" s="4"/>
      <c r="J1269" s="14"/>
    </row>
    <row r="1270" spans="6:10" ht="12.75">
      <c r="F1270" s="17"/>
      <c r="G1270" s="19"/>
      <c r="H1270" s="23"/>
      <c r="I1270" s="4"/>
      <c r="J1270" s="14"/>
    </row>
    <row r="1271" spans="6:10" ht="12.75">
      <c r="F1271" s="17"/>
      <c r="G1271" s="19"/>
      <c r="H1271" s="23"/>
      <c r="I1271" s="4"/>
      <c r="J1271" s="14"/>
    </row>
    <row r="1272" spans="6:10" ht="12.75">
      <c r="F1272" s="17"/>
      <c r="G1272" s="19"/>
      <c r="H1272" s="23"/>
      <c r="I1272" s="4"/>
      <c r="J1272" s="14"/>
    </row>
    <row r="1273" spans="6:10" ht="12.75">
      <c r="F1273" s="17"/>
      <c r="G1273" s="19"/>
      <c r="H1273" s="23"/>
      <c r="I1273" s="4"/>
      <c r="J1273" s="14"/>
    </row>
    <row r="1274" spans="6:10" ht="12.75">
      <c r="F1274" s="17"/>
      <c r="G1274" s="19"/>
      <c r="H1274" s="23"/>
      <c r="I1274" s="4"/>
      <c r="J1274" s="14"/>
    </row>
    <row r="1275" spans="6:10" ht="12.75">
      <c r="F1275" s="17"/>
      <c r="G1275" s="19"/>
      <c r="H1275" s="23"/>
      <c r="I1275" s="4"/>
      <c r="J1275" s="14"/>
    </row>
    <row r="1276" spans="6:10" ht="12.75">
      <c r="F1276" s="17"/>
      <c r="G1276" s="19"/>
      <c r="H1276" s="23"/>
      <c r="I1276" s="4"/>
      <c r="J1276" s="14"/>
    </row>
    <row r="1277" spans="6:10" ht="12.75">
      <c r="F1277" s="17"/>
      <c r="G1277" s="19"/>
      <c r="H1277" s="23"/>
      <c r="I1277" s="4"/>
      <c r="J1277" s="14"/>
    </row>
    <row r="1278" spans="6:10" ht="12.75">
      <c r="F1278" s="17"/>
      <c r="G1278" s="19"/>
      <c r="H1278" s="23"/>
      <c r="I1278" s="4"/>
      <c r="J1278" s="14"/>
    </row>
    <row r="1279" spans="6:10" ht="12.75">
      <c r="F1279" s="17"/>
      <c r="G1279" s="19"/>
      <c r="H1279" s="23"/>
      <c r="I1279" s="4"/>
      <c r="J1279" s="14"/>
    </row>
    <row r="1280" spans="6:10" ht="12.75">
      <c r="F1280" s="17"/>
      <c r="G1280" s="19"/>
      <c r="H1280" s="23"/>
      <c r="I1280" s="4"/>
      <c r="J1280" s="14"/>
    </row>
    <row r="1281" spans="6:10" ht="12.75">
      <c r="F1281" s="17"/>
      <c r="G1281" s="19"/>
      <c r="H1281" s="23"/>
      <c r="I1281" s="4"/>
      <c r="J1281" s="14"/>
    </row>
    <row r="1282" spans="6:10" ht="12.75">
      <c r="F1282" s="17"/>
      <c r="G1282" s="19"/>
      <c r="H1282" s="23"/>
      <c r="I1282" s="4"/>
      <c r="J1282" s="14"/>
    </row>
    <row r="1283" spans="6:10" ht="12.75">
      <c r="F1283" s="17"/>
      <c r="G1283" s="19"/>
      <c r="H1283" s="23"/>
      <c r="I1283" s="4"/>
      <c r="J1283" s="14"/>
    </row>
    <row r="1284" spans="6:10" ht="12.75">
      <c r="F1284" s="17"/>
      <c r="G1284" s="19"/>
      <c r="H1284" s="23"/>
      <c r="I1284" s="4"/>
      <c r="J1284" s="14"/>
    </row>
    <row r="1285" spans="6:10" ht="12.75">
      <c r="F1285" s="17"/>
      <c r="G1285" s="19"/>
      <c r="H1285" s="23"/>
      <c r="I1285" s="4"/>
      <c r="J1285" s="14"/>
    </row>
    <row r="1286" spans="6:10" ht="12.75">
      <c r="F1286" s="17"/>
      <c r="G1286" s="19"/>
      <c r="H1286" s="23"/>
      <c r="I1286" s="4"/>
      <c r="J1286" s="14"/>
    </row>
    <row r="1287" spans="6:10" ht="12.75">
      <c r="F1287" s="17"/>
      <c r="G1287" s="19"/>
      <c r="H1287" s="23"/>
      <c r="I1287" s="4"/>
      <c r="J1287" s="14"/>
    </row>
    <row r="1288" spans="6:10" ht="12.75">
      <c r="F1288" s="17"/>
      <c r="G1288" s="19"/>
      <c r="H1288" s="23"/>
      <c r="I1288" s="4"/>
      <c r="J1288" s="14"/>
    </row>
    <row r="1289" spans="6:10" ht="12.75">
      <c r="F1289" s="17"/>
      <c r="G1289" s="19"/>
      <c r="H1289" s="23"/>
      <c r="I1289" s="4"/>
      <c r="J1289" s="14"/>
    </row>
    <row r="1290" spans="6:10" ht="12.75">
      <c r="F1290" s="17"/>
      <c r="G1290" s="19"/>
      <c r="H1290" s="23"/>
      <c r="I1290" s="4"/>
      <c r="J1290" s="14"/>
    </row>
    <row r="1291" spans="6:10" ht="12.75">
      <c r="F1291" s="17"/>
      <c r="G1291" s="19"/>
      <c r="H1291" s="23"/>
      <c r="I1291" s="4"/>
      <c r="J1291" s="14"/>
    </row>
    <row r="1292" spans="6:10" ht="12.75">
      <c r="F1292" s="17"/>
      <c r="G1292" s="19"/>
      <c r="H1292" s="23"/>
      <c r="I1292" s="4"/>
      <c r="J1292" s="14"/>
    </row>
    <row r="1293" spans="6:10" ht="12.75">
      <c r="F1293" s="17"/>
      <c r="G1293" s="19"/>
      <c r="H1293" s="23"/>
      <c r="I1293" s="4"/>
      <c r="J1293" s="14"/>
    </row>
    <row r="1294" spans="6:10" ht="12.75">
      <c r="F1294" s="17"/>
      <c r="G1294" s="19"/>
      <c r="H1294" s="23"/>
      <c r="I1294" s="4"/>
      <c r="J1294" s="14"/>
    </row>
    <row r="1295" spans="6:10" ht="12.75">
      <c r="F1295" s="17"/>
      <c r="G1295" s="19"/>
      <c r="H1295" s="23"/>
      <c r="I1295" s="4"/>
      <c r="J1295" s="14"/>
    </row>
    <row r="1296" spans="6:10" ht="12.75">
      <c r="F1296" s="17"/>
      <c r="G1296" s="19"/>
      <c r="H1296" s="23"/>
      <c r="I1296" s="4"/>
      <c r="J1296" s="14"/>
    </row>
    <row r="1297" spans="6:10" ht="12.75">
      <c r="F1297" s="17"/>
      <c r="G1297" s="19"/>
      <c r="H1297" s="23"/>
      <c r="I1297" s="4"/>
      <c r="J1297" s="14"/>
    </row>
    <row r="1298" spans="6:10" ht="12.75">
      <c r="F1298" s="17"/>
      <c r="G1298" s="19"/>
      <c r="H1298" s="23"/>
      <c r="I1298" s="4"/>
      <c r="J1298" s="14"/>
    </row>
    <row r="1299" spans="6:10" ht="12.75">
      <c r="F1299" s="17"/>
      <c r="G1299" s="19"/>
      <c r="H1299" s="23"/>
      <c r="I1299" s="4"/>
      <c r="J1299" s="14"/>
    </row>
    <row r="1300" spans="6:10" ht="12.75">
      <c r="F1300" s="17"/>
      <c r="G1300" s="19"/>
      <c r="H1300" s="23"/>
      <c r="I1300" s="4"/>
      <c r="J1300" s="14"/>
    </row>
    <row r="1301" spans="6:10" ht="12.75">
      <c r="F1301" s="17"/>
      <c r="G1301" s="19"/>
      <c r="H1301" s="23"/>
      <c r="I1301" s="4"/>
      <c r="J1301" s="14"/>
    </row>
    <row r="1302" spans="6:10" ht="12.75">
      <c r="F1302" s="17"/>
      <c r="G1302" s="19"/>
      <c r="H1302" s="23"/>
      <c r="I1302" s="4"/>
      <c r="J1302" s="14"/>
    </row>
    <row r="1303" spans="6:10" ht="12.75">
      <c r="F1303" s="17"/>
      <c r="G1303" s="19"/>
      <c r="H1303" s="23"/>
      <c r="I1303" s="4"/>
      <c r="J1303" s="14"/>
    </row>
    <row r="1304" spans="6:10" ht="12.75">
      <c r="F1304" s="17"/>
      <c r="G1304" s="19"/>
      <c r="H1304" s="23"/>
      <c r="I1304" s="4"/>
      <c r="J1304" s="14"/>
    </row>
    <row r="1305" spans="6:10" ht="12.75">
      <c r="F1305" s="17"/>
      <c r="G1305" s="19"/>
      <c r="H1305" s="23"/>
      <c r="I1305" s="4"/>
      <c r="J1305" s="14"/>
    </row>
    <row r="1306" spans="6:10" ht="12.75">
      <c r="F1306" s="17"/>
      <c r="G1306" s="19"/>
      <c r="H1306" s="23"/>
      <c r="I1306" s="4"/>
      <c r="J1306" s="14"/>
    </row>
    <row r="1307" spans="6:10" ht="12.75">
      <c r="F1307" s="17"/>
      <c r="G1307" s="19"/>
      <c r="H1307" s="23"/>
      <c r="I1307" s="4"/>
      <c r="J1307" s="14"/>
    </row>
    <row r="1308" spans="6:10" ht="12.75">
      <c r="F1308" s="17"/>
      <c r="G1308" s="19"/>
      <c r="H1308" s="23"/>
      <c r="I1308" s="4"/>
      <c r="J1308" s="14"/>
    </row>
    <row r="1309" spans="6:10" ht="12.75">
      <c r="F1309" s="17"/>
      <c r="G1309" s="19"/>
      <c r="H1309" s="23"/>
      <c r="I1309" s="4"/>
      <c r="J1309" s="14"/>
    </row>
    <row r="1310" spans="6:10" ht="12.75">
      <c r="F1310" s="17"/>
      <c r="G1310" s="19"/>
      <c r="H1310" s="23"/>
      <c r="I1310" s="4"/>
      <c r="J1310" s="14"/>
    </row>
    <row r="1311" spans="6:10" ht="12.75">
      <c r="F1311" s="17"/>
      <c r="G1311" s="19"/>
      <c r="H1311" s="23"/>
      <c r="I1311" s="4"/>
      <c r="J1311" s="14"/>
    </row>
    <row r="1312" spans="6:10" ht="12.75">
      <c r="F1312" s="17"/>
      <c r="G1312" s="19"/>
      <c r="H1312" s="23"/>
      <c r="I1312" s="4"/>
      <c r="J1312" s="14"/>
    </row>
    <row r="1313" spans="6:10" ht="12.75">
      <c r="F1313" s="17"/>
      <c r="G1313" s="19"/>
      <c r="H1313" s="23"/>
      <c r="I1313" s="4"/>
      <c r="J1313" s="14"/>
    </row>
    <row r="1314" spans="6:10" ht="12.75">
      <c r="F1314" s="17"/>
      <c r="G1314" s="19"/>
      <c r="H1314" s="23"/>
      <c r="I1314" s="4"/>
      <c r="J1314" s="14"/>
    </row>
    <row r="1315" spans="6:10" ht="12.75">
      <c r="F1315" s="17"/>
      <c r="G1315" s="19"/>
      <c r="H1315" s="23"/>
      <c r="I1315" s="4"/>
      <c r="J1315" s="14"/>
    </row>
    <row r="1316" spans="6:10" ht="12.75">
      <c r="F1316" s="17"/>
      <c r="G1316" s="19"/>
      <c r="H1316" s="23"/>
      <c r="I1316" s="4"/>
      <c r="J1316" s="14"/>
    </row>
    <row r="1317" spans="6:10" ht="12.75">
      <c r="F1317" s="17"/>
      <c r="G1317" s="19"/>
      <c r="H1317" s="23"/>
      <c r="I1317" s="4"/>
      <c r="J1317" s="14"/>
    </row>
    <row r="1318" spans="6:10" ht="12.75">
      <c r="F1318" s="17"/>
      <c r="G1318" s="19"/>
      <c r="H1318" s="23"/>
      <c r="I1318" s="4"/>
      <c r="J1318" s="14"/>
    </row>
    <row r="1319" spans="6:10" ht="12.75">
      <c r="F1319" s="17"/>
      <c r="G1319" s="19"/>
      <c r="H1319" s="23"/>
      <c r="I1319" s="4"/>
      <c r="J1319" s="14"/>
    </row>
    <row r="1320" spans="6:10" ht="12.75">
      <c r="F1320" s="17"/>
      <c r="G1320" s="19"/>
      <c r="H1320" s="23"/>
      <c r="I1320" s="4"/>
      <c r="J1320" s="14"/>
    </row>
    <row r="1321" spans="6:10" ht="12.75">
      <c r="F1321" s="17"/>
      <c r="G1321" s="19"/>
      <c r="H1321" s="23"/>
      <c r="I1321" s="4"/>
      <c r="J1321" s="14"/>
    </row>
    <row r="1322" spans="6:10" ht="12.75">
      <c r="F1322" s="17"/>
      <c r="G1322" s="19"/>
      <c r="H1322" s="23"/>
      <c r="I1322" s="4"/>
      <c r="J1322" s="14"/>
    </row>
    <row r="1323" spans="6:10" ht="12.75">
      <c r="F1323" s="17"/>
      <c r="G1323" s="19"/>
      <c r="H1323" s="23"/>
      <c r="I1323" s="4"/>
      <c r="J1323" s="14"/>
    </row>
    <row r="1324" spans="6:10" ht="12.75">
      <c r="F1324" s="17"/>
      <c r="G1324" s="19"/>
      <c r="H1324" s="23"/>
      <c r="I1324" s="4"/>
      <c r="J1324" s="14"/>
    </row>
    <row r="1325" spans="6:10" ht="12.75">
      <c r="F1325" s="17"/>
      <c r="G1325" s="19"/>
      <c r="H1325" s="23"/>
      <c r="I1325" s="4"/>
      <c r="J1325" s="14"/>
    </row>
    <row r="1326" spans="6:10" ht="12.75">
      <c r="F1326" s="17"/>
      <c r="G1326" s="19"/>
      <c r="H1326" s="23"/>
      <c r="I1326" s="4"/>
      <c r="J1326" s="14"/>
    </row>
    <row r="1327" spans="6:10" ht="12.75">
      <c r="F1327" s="17"/>
      <c r="G1327" s="19"/>
      <c r="H1327" s="23"/>
      <c r="I1327" s="4"/>
      <c r="J1327" s="14"/>
    </row>
    <row r="1328" spans="6:10" ht="12.75">
      <c r="F1328" s="17"/>
      <c r="G1328" s="19"/>
      <c r="H1328" s="23"/>
      <c r="I1328" s="4"/>
      <c r="J1328" s="14"/>
    </row>
    <row r="1329" spans="6:10" ht="12.75">
      <c r="F1329" s="17"/>
      <c r="G1329" s="19"/>
      <c r="H1329" s="23"/>
      <c r="I1329" s="4"/>
      <c r="J1329" s="14"/>
    </row>
    <row r="1330" spans="6:10" ht="12.75">
      <c r="F1330" s="17"/>
      <c r="G1330" s="19"/>
      <c r="H1330" s="23"/>
      <c r="I1330" s="4"/>
      <c r="J1330" s="14"/>
    </row>
    <row r="1331" spans="6:10" ht="12.75">
      <c r="F1331" s="17"/>
      <c r="G1331" s="19"/>
      <c r="H1331" s="23"/>
      <c r="I1331" s="4"/>
      <c r="J1331" s="14"/>
    </row>
    <row r="1332" spans="6:10" ht="12.75">
      <c r="F1332" s="17"/>
      <c r="G1332" s="19"/>
      <c r="H1332" s="23"/>
      <c r="I1332" s="4"/>
      <c r="J1332" s="14"/>
    </row>
    <row r="1333" spans="6:10" ht="12.75">
      <c r="F1333" s="17"/>
      <c r="G1333" s="19"/>
      <c r="H1333" s="23"/>
      <c r="I1333" s="4"/>
      <c r="J1333" s="14"/>
    </row>
    <row r="1334" spans="6:10" ht="12.75">
      <c r="F1334" s="17"/>
      <c r="G1334" s="19"/>
      <c r="H1334" s="23"/>
      <c r="I1334" s="4"/>
      <c r="J1334" s="14"/>
    </row>
    <row r="1335" spans="6:10" ht="12.75">
      <c r="F1335" s="17"/>
      <c r="G1335" s="19"/>
      <c r="H1335" s="23"/>
      <c r="I1335" s="4"/>
      <c r="J1335" s="14"/>
    </row>
    <row r="1336" spans="6:10" ht="12.75">
      <c r="F1336" s="17"/>
      <c r="G1336" s="19"/>
      <c r="H1336" s="23"/>
      <c r="I1336" s="4"/>
      <c r="J1336" s="14"/>
    </row>
    <row r="1337" spans="6:10" ht="12.75">
      <c r="F1337" s="17"/>
      <c r="G1337" s="19"/>
      <c r="H1337" s="23"/>
      <c r="I1337" s="4"/>
      <c r="J1337" s="14"/>
    </row>
    <row r="1338" spans="6:10" ht="12.75">
      <c r="F1338" s="17"/>
      <c r="G1338" s="19"/>
      <c r="H1338" s="23"/>
      <c r="I1338" s="4"/>
      <c r="J1338" s="14"/>
    </row>
    <row r="1339" spans="6:10" ht="12.75">
      <c r="F1339" s="17"/>
      <c r="G1339" s="19"/>
      <c r="H1339" s="23"/>
      <c r="I1339" s="4"/>
      <c r="J1339" s="14"/>
    </row>
    <row r="1340" spans="6:10" ht="12.75">
      <c r="F1340" s="17"/>
      <c r="G1340" s="19"/>
      <c r="H1340" s="23"/>
      <c r="I1340" s="4"/>
      <c r="J1340" s="14"/>
    </row>
    <row r="1341" spans="6:10" ht="12.75">
      <c r="F1341" s="17"/>
      <c r="G1341" s="19"/>
      <c r="H1341" s="23"/>
      <c r="I1341" s="4"/>
      <c r="J1341" s="14"/>
    </row>
    <row r="1342" spans="6:10" ht="12.75">
      <c r="F1342" s="17"/>
      <c r="G1342" s="19"/>
      <c r="H1342" s="23"/>
      <c r="I1342" s="4"/>
      <c r="J1342" s="14"/>
    </row>
    <row r="1343" spans="6:10" ht="12.75">
      <c r="F1343" s="17"/>
      <c r="G1343" s="19"/>
      <c r="H1343" s="23"/>
      <c r="I1343" s="4"/>
      <c r="J1343" s="14"/>
    </row>
    <row r="1344" spans="6:10" ht="12.75">
      <c r="F1344" s="17"/>
      <c r="G1344" s="19"/>
      <c r="H1344" s="23"/>
      <c r="I1344" s="4"/>
      <c r="J1344" s="14"/>
    </row>
    <row r="1345" spans="6:10" ht="12.75">
      <c r="F1345" s="17"/>
      <c r="G1345" s="19"/>
      <c r="H1345" s="23"/>
      <c r="I1345" s="4"/>
      <c r="J1345" s="14"/>
    </row>
    <row r="1346" spans="6:10" ht="12.75">
      <c r="F1346" s="17"/>
      <c r="G1346" s="19"/>
      <c r="H1346" s="23"/>
      <c r="I1346" s="4"/>
      <c r="J1346" s="14"/>
    </row>
    <row r="1347" spans="6:10" ht="12.75">
      <c r="F1347" s="17"/>
      <c r="G1347" s="19"/>
      <c r="H1347" s="23"/>
      <c r="I1347" s="4"/>
      <c r="J1347" s="14"/>
    </row>
    <row r="1348" spans="6:10" ht="12.75">
      <c r="F1348" s="17"/>
      <c r="G1348" s="19"/>
      <c r="H1348" s="23"/>
      <c r="I1348" s="4"/>
      <c r="J1348" s="14"/>
    </row>
    <row r="1349" spans="6:10" ht="12.75">
      <c r="F1349" s="17"/>
      <c r="G1349" s="19"/>
      <c r="H1349" s="23"/>
      <c r="I1349" s="4"/>
      <c r="J1349" s="14"/>
    </row>
    <row r="1350" spans="6:10" ht="12.75">
      <c r="F1350" s="17"/>
      <c r="G1350" s="19"/>
      <c r="H1350" s="23"/>
      <c r="I1350" s="4"/>
      <c r="J1350" s="14"/>
    </row>
    <row r="1351" spans="6:10" ht="12.75">
      <c r="F1351" s="17"/>
      <c r="G1351" s="19"/>
      <c r="H1351" s="23"/>
      <c r="I1351" s="4"/>
      <c r="J1351" s="14"/>
    </row>
    <row r="1352" spans="6:10" ht="12.75">
      <c r="F1352" s="17"/>
      <c r="G1352" s="19"/>
      <c r="H1352" s="23"/>
      <c r="I1352" s="4"/>
      <c r="J1352" s="14"/>
    </row>
    <row r="1353" spans="6:10" ht="12.75">
      <c r="F1353" s="17"/>
      <c r="G1353" s="19"/>
      <c r="H1353" s="23"/>
      <c r="I1353" s="4"/>
      <c r="J1353" s="14"/>
    </row>
    <row r="1354" spans="6:10" ht="12.75">
      <c r="F1354" s="17"/>
      <c r="G1354" s="19"/>
      <c r="H1354" s="23"/>
      <c r="I1354" s="4"/>
      <c r="J1354" s="14"/>
    </row>
    <row r="1355" spans="6:10" ht="12.75">
      <c r="F1355" s="17"/>
      <c r="G1355" s="19"/>
      <c r="H1355" s="23"/>
      <c r="I1355" s="4"/>
      <c r="J1355" s="14"/>
    </row>
    <row r="1356" spans="6:10" ht="12.75">
      <c r="F1356" s="17"/>
      <c r="G1356" s="19"/>
      <c r="H1356" s="23"/>
      <c r="I1356" s="4"/>
      <c r="J1356" s="14"/>
    </row>
    <row r="1357" spans="6:10" ht="12.75">
      <c r="F1357" s="17"/>
      <c r="G1357" s="19"/>
      <c r="H1357" s="23"/>
      <c r="I1357" s="4"/>
      <c r="J1357" s="14"/>
    </row>
    <row r="1358" spans="6:10" ht="12.75">
      <c r="F1358" s="17"/>
      <c r="G1358" s="19"/>
      <c r="H1358" s="23"/>
      <c r="I1358" s="4"/>
      <c r="J1358" s="14"/>
    </row>
    <row r="1359" spans="6:10" ht="12.75">
      <c r="F1359" s="17"/>
      <c r="G1359" s="19"/>
      <c r="H1359" s="23"/>
      <c r="I1359" s="4"/>
      <c r="J1359" s="14"/>
    </row>
    <row r="1360" spans="6:10" ht="12.75">
      <c r="F1360" s="17"/>
      <c r="G1360" s="19"/>
      <c r="H1360" s="23"/>
      <c r="I1360" s="4"/>
      <c r="J1360" s="14"/>
    </row>
    <row r="1361" spans="6:10" ht="12.75">
      <c r="F1361" s="17"/>
      <c r="G1361" s="19"/>
      <c r="H1361" s="23"/>
      <c r="I1361" s="4"/>
      <c r="J1361" s="14"/>
    </row>
    <row r="1362" spans="6:10" ht="12.75">
      <c r="F1362" s="17"/>
      <c r="G1362" s="19"/>
      <c r="H1362" s="23"/>
      <c r="I1362" s="4"/>
      <c r="J1362" s="14"/>
    </row>
    <row r="1363" spans="6:10" ht="12.75">
      <c r="F1363" s="17"/>
      <c r="G1363" s="19"/>
      <c r="H1363" s="23"/>
      <c r="I1363" s="4"/>
      <c r="J1363" s="14"/>
    </row>
    <row r="1364" spans="6:10" ht="12.75">
      <c r="F1364" s="17"/>
      <c r="G1364" s="19"/>
      <c r="H1364" s="23"/>
      <c r="I1364" s="4"/>
      <c r="J1364" s="14"/>
    </row>
    <row r="1365" spans="6:10" ht="12.75">
      <c r="F1365" s="17"/>
      <c r="G1365" s="19"/>
      <c r="H1365" s="23"/>
      <c r="I1365" s="4"/>
      <c r="J1365" s="14"/>
    </row>
    <row r="1366" spans="6:10" ht="12.75">
      <c r="F1366" s="17"/>
      <c r="G1366" s="19"/>
      <c r="H1366" s="23"/>
      <c r="I1366" s="4"/>
      <c r="J1366" s="14"/>
    </row>
    <row r="1367" spans="6:10" ht="12.75">
      <c r="F1367" s="17"/>
      <c r="G1367" s="19"/>
      <c r="H1367" s="23"/>
      <c r="I1367" s="4"/>
      <c r="J1367" s="14"/>
    </row>
    <row r="1368" spans="6:10" ht="12.75">
      <c r="F1368" s="17"/>
      <c r="G1368" s="19"/>
      <c r="H1368" s="23"/>
      <c r="I1368" s="4"/>
      <c r="J1368" s="14"/>
    </row>
    <row r="1369" spans="6:10" ht="12.75">
      <c r="F1369" s="17"/>
      <c r="G1369" s="19"/>
      <c r="H1369" s="23"/>
      <c r="I1369" s="4"/>
      <c r="J1369" s="14"/>
    </row>
    <row r="1370" spans="6:10" ht="12.75">
      <c r="F1370" s="17"/>
      <c r="G1370" s="19"/>
      <c r="H1370" s="23"/>
      <c r="I1370" s="4"/>
      <c r="J1370" s="14"/>
    </row>
    <row r="1371" spans="6:10" ht="12.75">
      <c r="F1371" s="17"/>
      <c r="G1371" s="19"/>
      <c r="H1371" s="23"/>
      <c r="I1371" s="4"/>
      <c r="J1371" s="14"/>
    </row>
    <row r="1372" spans="6:10" ht="12.75">
      <c r="F1372" s="17"/>
      <c r="G1372" s="19"/>
      <c r="H1372" s="23"/>
      <c r="I1372" s="4"/>
      <c r="J1372" s="14"/>
    </row>
    <row r="1373" spans="6:10" ht="12.75">
      <c r="F1373" s="17"/>
      <c r="G1373" s="19"/>
      <c r="H1373" s="23"/>
      <c r="I1373" s="4"/>
      <c r="J1373" s="14"/>
    </row>
    <row r="1374" spans="6:10" ht="12.75">
      <c r="F1374" s="17"/>
      <c r="G1374" s="19"/>
      <c r="H1374" s="23"/>
      <c r="I1374" s="4"/>
      <c r="J1374" s="14"/>
    </row>
    <row r="1375" spans="6:10" ht="12.75">
      <c r="F1375" s="17"/>
      <c r="G1375" s="19"/>
      <c r="H1375" s="23"/>
      <c r="I1375" s="4"/>
      <c r="J1375" s="14"/>
    </row>
    <row r="1376" spans="6:10" ht="12.75">
      <c r="F1376" s="17"/>
      <c r="G1376" s="19"/>
      <c r="H1376" s="23"/>
      <c r="I1376" s="4"/>
      <c r="J1376" s="14"/>
    </row>
    <row r="1377" spans="6:10" ht="12.75">
      <c r="F1377" s="17"/>
      <c r="G1377" s="19"/>
      <c r="H1377" s="23"/>
      <c r="I1377" s="4"/>
      <c r="J1377" s="14"/>
    </row>
    <row r="1378" spans="6:10" ht="12.75">
      <c r="F1378" s="17"/>
      <c r="G1378" s="19"/>
      <c r="H1378" s="23"/>
      <c r="I1378" s="4"/>
      <c r="J1378" s="14"/>
    </row>
    <row r="1379" spans="6:10" ht="12.75">
      <c r="F1379" s="17"/>
      <c r="G1379" s="19"/>
      <c r="H1379" s="23"/>
      <c r="I1379" s="4"/>
      <c r="J1379" s="14"/>
    </row>
    <row r="1380" spans="6:10" ht="12.75">
      <c r="F1380" s="17"/>
      <c r="G1380" s="19"/>
      <c r="H1380" s="23"/>
      <c r="I1380" s="4"/>
      <c r="J1380" s="14"/>
    </row>
    <row r="1381" spans="6:10" ht="12.75">
      <c r="F1381" s="17"/>
      <c r="G1381" s="19"/>
      <c r="H1381" s="23"/>
      <c r="I1381" s="4"/>
      <c r="J1381" s="14"/>
    </row>
    <row r="1382" spans="6:10" ht="12.75">
      <c r="F1382" s="17"/>
      <c r="G1382" s="19"/>
      <c r="H1382" s="23"/>
      <c r="I1382" s="4"/>
      <c r="J1382" s="14"/>
    </row>
    <row r="1383" spans="6:10" ht="12.75">
      <c r="F1383" s="17"/>
      <c r="G1383" s="19"/>
      <c r="H1383" s="23"/>
      <c r="I1383" s="4"/>
      <c r="J1383" s="14"/>
    </row>
    <row r="1384" spans="6:10" ht="12.75">
      <c r="F1384" s="17"/>
      <c r="G1384" s="19"/>
      <c r="H1384" s="23"/>
      <c r="I1384" s="4"/>
      <c r="J1384" s="14"/>
    </row>
    <row r="1385" spans="6:10" ht="12.75">
      <c r="F1385" s="17"/>
      <c r="G1385" s="19"/>
      <c r="H1385" s="23"/>
      <c r="I1385" s="4"/>
      <c r="J1385" s="14"/>
    </row>
    <row r="1386" spans="6:10" ht="12.75">
      <c r="F1386" s="17"/>
      <c r="G1386" s="19"/>
      <c r="H1386" s="23"/>
      <c r="I1386" s="4"/>
      <c r="J1386" s="14"/>
    </row>
    <row r="1387" spans="6:10" ht="12.75">
      <c r="F1387" s="17"/>
      <c r="G1387" s="19"/>
      <c r="H1387" s="23"/>
      <c r="I1387" s="4"/>
      <c r="J1387" s="14"/>
    </row>
    <row r="1388" spans="6:10" ht="12.75">
      <c r="F1388" s="17"/>
      <c r="G1388" s="19"/>
      <c r="H1388" s="23"/>
      <c r="I1388" s="4"/>
      <c r="J1388" s="14"/>
    </row>
    <row r="1389" spans="6:10" ht="12.75">
      <c r="F1389" s="17"/>
      <c r="G1389" s="19"/>
      <c r="H1389" s="23"/>
      <c r="I1389" s="4"/>
      <c r="J1389" s="14"/>
    </row>
    <row r="1390" spans="6:10" ht="12.75">
      <c r="F1390" s="17"/>
      <c r="G1390" s="19"/>
      <c r="H1390" s="23"/>
      <c r="I1390" s="4"/>
      <c r="J1390" s="14"/>
    </row>
    <row r="1391" spans="6:10" ht="12.75">
      <c r="F1391" s="17"/>
      <c r="G1391" s="19"/>
      <c r="H1391" s="23"/>
      <c r="I1391" s="4"/>
      <c r="J1391" s="14"/>
    </row>
    <row r="1392" spans="6:10" ht="12.75">
      <c r="F1392" s="17"/>
      <c r="G1392" s="19"/>
      <c r="H1392" s="23"/>
      <c r="I1392" s="4"/>
      <c r="J1392" s="14"/>
    </row>
    <row r="1393" spans="6:10" ht="12.75">
      <c r="F1393" s="17"/>
      <c r="G1393" s="19"/>
      <c r="H1393" s="23"/>
      <c r="I1393" s="4"/>
      <c r="J1393" s="14"/>
    </row>
    <row r="1394" spans="6:10" ht="12.75">
      <c r="F1394" s="17"/>
      <c r="G1394" s="19"/>
      <c r="H1394" s="23"/>
      <c r="I1394" s="4"/>
      <c r="J1394" s="14"/>
    </row>
    <row r="1395" spans="6:10" ht="12.75">
      <c r="F1395" s="17"/>
      <c r="G1395" s="19"/>
      <c r="H1395" s="23"/>
      <c r="I1395" s="4"/>
      <c r="J1395" s="14"/>
    </row>
    <row r="1396" spans="6:10" ht="12.75">
      <c r="F1396" s="17"/>
      <c r="G1396" s="19"/>
      <c r="H1396" s="23"/>
      <c r="I1396" s="4"/>
      <c r="J1396" s="14"/>
    </row>
    <row r="1397" spans="6:10" ht="12.75">
      <c r="F1397" s="17"/>
      <c r="G1397" s="19"/>
      <c r="H1397" s="23"/>
      <c r="I1397" s="4"/>
      <c r="J1397" s="14"/>
    </row>
    <row r="1398" spans="6:10" ht="12.75">
      <c r="F1398" s="17"/>
      <c r="G1398" s="19"/>
      <c r="H1398" s="23"/>
      <c r="I1398" s="4"/>
      <c r="J1398" s="14"/>
    </row>
    <row r="1399" spans="6:10" ht="12.75">
      <c r="F1399" s="17"/>
      <c r="G1399" s="19"/>
      <c r="H1399" s="23"/>
      <c r="I1399" s="4"/>
      <c r="J1399" s="14"/>
    </row>
    <row r="1400" spans="6:10" ht="12.75">
      <c r="F1400" s="17"/>
      <c r="G1400" s="19"/>
      <c r="H1400" s="23"/>
      <c r="I1400" s="4"/>
      <c r="J1400" s="14"/>
    </row>
    <row r="1401" spans="6:10" ht="12.75">
      <c r="F1401" s="17"/>
      <c r="G1401" s="19"/>
      <c r="H1401" s="23"/>
      <c r="I1401" s="4"/>
      <c r="J1401" s="14"/>
    </row>
    <row r="1402" spans="6:10" ht="12.75">
      <c r="F1402" s="17"/>
      <c r="G1402" s="19"/>
      <c r="H1402" s="23"/>
      <c r="I1402" s="4"/>
      <c r="J1402" s="14"/>
    </row>
    <row r="1403" spans="6:10" ht="12.75">
      <c r="F1403" s="17"/>
      <c r="G1403" s="19"/>
      <c r="H1403" s="23"/>
      <c r="I1403" s="4"/>
      <c r="J1403" s="14"/>
    </row>
    <row r="1404" spans="6:10" ht="12.75">
      <c r="F1404" s="17"/>
      <c r="G1404" s="19"/>
      <c r="H1404" s="23"/>
      <c r="I1404" s="4"/>
      <c r="J1404" s="14"/>
    </row>
    <row r="1405" spans="6:10" ht="12.75">
      <c r="F1405" s="17"/>
      <c r="G1405" s="19"/>
      <c r="H1405" s="23"/>
      <c r="I1405" s="4"/>
      <c r="J1405" s="14"/>
    </row>
    <row r="1406" spans="6:10" ht="12.75">
      <c r="F1406" s="17"/>
      <c r="G1406" s="19"/>
      <c r="H1406" s="23"/>
      <c r="I1406" s="4"/>
      <c r="J1406" s="14"/>
    </row>
    <row r="1407" spans="6:10" ht="12.75">
      <c r="F1407" s="17"/>
      <c r="G1407" s="19"/>
      <c r="H1407" s="23"/>
      <c r="I1407" s="4"/>
      <c r="J1407" s="14"/>
    </row>
    <row r="1408" spans="6:10" ht="12.75">
      <c r="F1408" s="17"/>
      <c r="G1408" s="19"/>
      <c r="H1408" s="23"/>
      <c r="I1408" s="4"/>
      <c r="J1408" s="14"/>
    </row>
    <row r="1409" spans="6:10" ht="12.75">
      <c r="F1409" s="17"/>
      <c r="G1409" s="19"/>
      <c r="H1409" s="23"/>
      <c r="I1409" s="4"/>
      <c r="J1409" s="14"/>
    </row>
    <row r="1410" spans="6:10" ht="12.75">
      <c r="F1410" s="17"/>
      <c r="G1410" s="19"/>
      <c r="H1410" s="23"/>
      <c r="I1410" s="4"/>
      <c r="J1410" s="14"/>
    </row>
    <row r="1411" spans="6:10" ht="12.75">
      <c r="F1411" s="17"/>
      <c r="G1411" s="19"/>
      <c r="H1411" s="23"/>
      <c r="I1411" s="4"/>
      <c r="J1411" s="14"/>
    </row>
    <row r="1412" spans="6:10" ht="12.75">
      <c r="F1412" s="17"/>
      <c r="G1412" s="19"/>
      <c r="H1412" s="23"/>
      <c r="I1412" s="4"/>
      <c r="J1412" s="14"/>
    </row>
    <row r="1413" spans="6:10" ht="12.75">
      <c r="F1413" s="17"/>
      <c r="G1413" s="19"/>
      <c r="H1413" s="23"/>
      <c r="I1413" s="4"/>
      <c r="J1413" s="14"/>
    </row>
    <row r="1414" spans="6:10" ht="12.75">
      <c r="F1414" s="17"/>
      <c r="G1414" s="19"/>
      <c r="H1414" s="23"/>
      <c r="I1414" s="4"/>
      <c r="J1414" s="14"/>
    </row>
    <row r="1415" spans="6:10" ht="12.75">
      <c r="F1415" s="17"/>
      <c r="G1415" s="19"/>
      <c r="H1415" s="23"/>
      <c r="I1415" s="4"/>
      <c r="J1415" s="14"/>
    </row>
    <row r="1416" spans="6:10" ht="12.75">
      <c r="F1416" s="17"/>
      <c r="G1416" s="19"/>
      <c r="H1416" s="23"/>
      <c r="I1416" s="4"/>
      <c r="J1416" s="14"/>
    </row>
    <row r="1417" spans="6:10" ht="12.75">
      <c r="F1417" s="17"/>
      <c r="G1417" s="19"/>
      <c r="H1417" s="23"/>
      <c r="I1417" s="4"/>
      <c r="J1417" s="14"/>
    </row>
    <row r="1418" spans="6:10" ht="12.75">
      <c r="F1418" s="17"/>
      <c r="G1418" s="19"/>
      <c r="H1418" s="23"/>
      <c r="I1418" s="4"/>
      <c r="J1418" s="14"/>
    </row>
    <row r="1419" spans="6:10" ht="12.75">
      <c r="F1419" s="17"/>
      <c r="G1419" s="19"/>
      <c r="H1419" s="23"/>
      <c r="I1419" s="4"/>
      <c r="J1419" s="14"/>
    </row>
    <row r="1420" spans="6:10" ht="12.75">
      <c r="F1420" s="17"/>
      <c r="G1420" s="19"/>
      <c r="H1420" s="23"/>
      <c r="I1420" s="4"/>
      <c r="J1420" s="14"/>
    </row>
    <row r="1421" spans="6:10" ht="12.75">
      <c r="F1421" s="17"/>
      <c r="G1421" s="19"/>
      <c r="H1421" s="23"/>
      <c r="I1421" s="4"/>
      <c r="J1421" s="14"/>
    </row>
    <row r="1422" spans="6:10" ht="12.75">
      <c r="F1422" s="17"/>
      <c r="G1422" s="19"/>
      <c r="H1422" s="23"/>
      <c r="I1422" s="4"/>
      <c r="J1422" s="14"/>
    </row>
    <row r="1423" spans="6:10" ht="12.75">
      <c r="F1423" s="17"/>
      <c r="G1423" s="19"/>
      <c r="H1423" s="23"/>
      <c r="I1423" s="4"/>
      <c r="J1423" s="14"/>
    </row>
    <row r="1424" spans="6:10" ht="12.75">
      <c r="F1424" s="17"/>
      <c r="G1424" s="19"/>
      <c r="H1424" s="23"/>
      <c r="I1424" s="4"/>
      <c r="J1424" s="14"/>
    </row>
    <row r="1425" spans="6:10" ht="12.75">
      <c r="F1425" s="17"/>
      <c r="G1425" s="19"/>
      <c r="H1425" s="23"/>
      <c r="I1425" s="4"/>
      <c r="J1425" s="14"/>
    </row>
    <row r="1426" spans="6:10" ht="12.75">
      <c r="F1426" s="17"/>
      <c r="G1426" s="19"/>
      <c r="H1426" s="23"/>
      <c r="I1426" s="4"/>
      <c r="J1426" s="14"/>
    </row>
    <row r="1427" spans="6:10" ht="12.75">
      <c r="F1427" s="17"/>
      <c r="G1427" s="19"/>
      <c r="H1427" s="23"/>
      <c r="I1427" s="4"/>
      <c r="J1427" s="14"/>
    </row>
    <row r="1428" spans="6:10" ht="12.75">
      <c r="F1428" s="17"/>
      <c r="G1428" s="19"/>
      <c r="H1428" s="23"/>
      <c r="I1428" s="4"/>
      <c r="J1428" s="14"/>
    </row>
    <row r="1429" spans="6:10" ht="12.75">
      <c r="F1429" s="17"/>
      <c r="G1429" s="19"/>
      <c r="H1429" s="23"/>
      <c r="I1429" s="4"/>
      <c r="J1429" s="14"/>
    </row>
    <row r="1430" spans="6:10" ht="12.75">
      <c r="F1430" s="17"/>
      <c r="G1430" s="19"/>
      <c r="H1430" s="23"/>
      <c r="I1430" s="4"/>
      <c r="J1430" s="14"/>
    </row>
    <row r="1431" spans="6:10" ht="12.75">
      <c r="F1431" s="17"/>
      <c r="G1431" s="19"/>
      <c r="H1431" s="23"/>
      <c r="I1431" s="4"/>
      <c r="J1431" s="14"/>
    </row>
    <row r="1432" spans="6:10" ht="12.75">
      <c r="F1432" s="17"/>
      <c r="G1432" s="19"/>
      <c r="H1432" s="23"/>
      <c r="I1432" s="4"/>
      <c r="J1432" s="14"/>
    </row>
    <row r="1433" spans="6:10" ht="12.75">
      <c r="F1433" s="17"/>
      <c r="G1433" s="19"/>
      <c r="H1433" s="23"/>
      <c r="I1433" s="4"/>
      <c r="J1433" s="14"/>
    </row>
    <row r="1434" spans="6:10" ht="12.75">
      <c r="F1434" s="17"/>
      <c r="G1434" s="19"/>
      <c r="H1434" s="23"/>
      <c r="I1434" s="4"/>
      <c r="J1434" s="14"/>
    </row>
    <row r="1435" spans="6:10" ht="12.75">
      <c r="F1435" s="17"/>
      <c r="G1435" s="19"/>
      <c r="H1435" s="23"/>
      <c r="I1435" s="4"/>
      <c r="J1435" s="14"/>
    </row>
    <row r="1436" spans="6:10" ht="12.75">
      <c r="F1436" s="17"/>
      <c r="G1436" s="19"/>
      <c r="H1436" s="23"/>
      <c r="I1436" s="4"/>
      <c r="J1436" s="14"/>
    </row>
    <row r="1437" spans="6:10" ht="12.75">
      <c r="F1437" s="17"/>
      <c r="G1437" s="19"/>
      <c r="H1437" s="23"/>
      <c r="I1437" s="4"/>
      <c r="J1437" s="14"/>
    </row>
    <row r="1438" spans="6:10" ht="12.75">
      <c r="F1438" s="17"/>
      <c r="G1438" s="19"/>
      <c r="H1438" s="23"/>
      <c r="I1438" s="4"/>
      <c r="J1438" s="14"/>
    </row>
    <row r="1439" spans="6:10" ht="12.75">
      <c r="F1439" s="17"/>
      <c r="G1439" s="19"/>
      <c r="H1439" s="23"/>
      <c r="I1439" s="4"/>
      <c r="J1439" s="14"/>
    </row>
    <row r="1440" spans="6:10" ht="12.75">
      <c r="F1440" s="17"/>
      <c r="G1440" s="19"/>
      <c r="H1440" s="23"/>
      <c r="I1440" s="4"/>
      <c r="J1440" s="14"/>
    </row>
    <row r="1441" spans="6:10" ht="12.75">
      <c r="F1441" s="17"/>
      <c r="G1441" s="19"/>
      <c r="H1441" s="23"/>
      <c r="I1441" s="4"/>
      <c r="J1441" s="14"/>
    </row>
    <row r="1442" spans="6:10" ht="12.75">
      <c r="F1442" s="17"/>
      <c r="G1442" s="19"/>
      <c r="H1442" s="23"/>
      <c r="I1442" s="4"/>
      <c r="J1442" s="14"/>
    </row>
    <row r="1443" spans="6:10" ht="12.75">
      <c r="F1443" s="17"/>
      <c r="G1443" s="19"/>
      <c r="H1443" s="23"/>
      <c r="I1443" s="4"/>
      <c r="J1443" s="14"/>
    </row>
    <row r="1444" spans="6:10" ht="12.75">
      <c r="F1444" s="17"/>
      <c r="G1444" s="19"/>
      <c r="H1444" s="23"/>
      <c r="I1444" s="4"/>
      <c r="J1444" s="14"/>
    </row>
    <row r="1445" spans="6:10" ht="12.75">
      <c r="F1445" s="17"/>
      <c r="G1445" s="19"/>
      <c r="H1445" s="23"/>
      <c r="I1445" s="4"/>
      <c r="J1445" s="14"/>
    </row>
    <row r="1446" spans="6:10" ht="12.75">
      <c r="F1446" s="17"/>
      <c r="G1446" s="19"/>
      <c r="H1446" s="23"/>
      <c r="I1446" s="4"/>
      <c r="J1446" s="14"/>
    </row>
    <row r="1447" spans="6:10" ht="12.75">
      <c r="F1447" s="17"/>
      <c r="G1447" s="19"/>
      <c r="H1447" s="23"/>
      <c r="I1447" s="4"/>
      <c r="J1447" s="14"/>
    </row>
    <row r="1448" spans="6:10" ht="12.75">
      <c r="F1448" s="17"/>
      <c r="G1448" s="19"/>
      <c r="H1448" s="23"/>
      <c r="I1448" s="4"/>
      <c r="J1448" s="14"/>
    </row>
    <row r="1449" spans="6:10" ht="12.75">
      <c r="F1449" s="17"/>
      <c r="G1449" s="19"/>
      <c r="H1449" s="23"/>
      <c r="I1449" s="4"/>
      <c r="J1449" s="14"/>
    </row>
    <row r="1450" spans="6:10" ht="12.75">
      <c r="F1450" s="17"/>
      <c r="G1450" s="19"/>
      <c r="H1450" s="23"/>
      <c r="I1450" s="4"/>
      <c r="J1450" s="14"/>
    </row>
    <row r="1451" spans="6:10" ht="12.75">
      <c r="F1451" s="17"/>
      <c r="G1451" s="19"/>
      <c r="H1451" s="23"/>
      <c r="I1451" s="4"/>
      <c r="J1451" s="14"/>
    </row>
    <row r="1452" spans="6:10" ht="12.75">
      <c r="F1452" s="17"/>
      <c r="G1452" s="19"/>
      <c r="H1452" s="23"/>
      <c r="I1452" s="4"/>
      <c r="J1452" s="14"/>
    </row>
    <row r="1453" spans="6:10" ht="12.75">
      <c r="F1453" s="17"/>
      <c r="G1453" s="19"/>
      <c r="H1453" s="23"/>
      <c r="I1453" s="4"/>
      <c r="J1453" s="14"/>
    </row>
    <row r="1454" spans="6:10" ht="12.75">
      <c r="F1454" s="17"/>
      <c r="G1454" s="19"/>
      <c r="H1454" s="23"/>
      <c r="I1454" s="4"/>
      <c r="J1454" s="14"/>
    </row>
    <row r="1455" spans="6:10" ht="12.75">
      <c r="F1455" s="17"/>
      <c r="G1455" s="19"/>
      <c r="H1455" s="23"/>
      <c r="I1455" s="4"/>
      <c r="J1455" s="14"/>
    </row>
    <row r="1456" spans="6:10" ht="12.75">
      <c r="F1456" s="17"/>
      <c r="G1456" s="19"/>
      <c r="H1456" s="23"/>
      <c r="I1456" s="4"/>
      <c r="J1456" s="14"/>
    </row>
    <row r="1457" spans="6:10" ht="12.75">
      <c r="F1457" s="17"/>
      <c r="G1457" s="19"/>
      <c r="H1457" s="23"/>
      <c r="I1457" s="4"/>
      <c r="J1457" s="14"/>
    </row>
    <row r="1458" spans="6:10" ht="12.75">
      <c r="F1458" s="17"/>
      <c r="G1458" s="19"/>
      <c r="H1458" s="23"/>
      <c r="I1458" s="4"/>
      <c r="J1458" s="14"/>
    </row>
    <row r="1459" spans="6:10" ht="12.75">
      <c r="F1459" s="17"/>
      <c r="G1459" s="19"/>
      <c r="H1459" s="23"/>
      <c r="I1459" s="4"/>
      <c r="J1459" s="14"/>
    </row>
    <row r="1460" spans="6:10" ht="12.75">
      <c r="F1460" s="17"/>
      <c r="G1460" s="19"/>
      <c r="H1460" s="23"/>
      <c r="I1460" s="4"/>
      <c r="J1460" s="14"/>
    </row>
    <row r="1461" spans="6:10" ht="12.75">
      <c r="F1461" s="17"/>
      <c r="G1461" s="19"/>
      <c r="H1461" s="23"/>
      <c r="I1461" s="4"/>
      <c r="J1461" s="14"/>
    </row>
    <row r="1462" spans="6:10" ht="12.75">
      <c r="F1462" s="17"/>
      <c r="G1462" s="19"/>
      <c r="H1462" s="23"/>
      <c r="I1462" s="4"/>
      <c r="J1462" s="14"/>
    </row>
    <row r="1463" spans="6:10" ht="12.75">
      <c r="F1463" s="17"/>
      <c r="G1463" s="19"/>
      <c r="H1463" s="23"/>
      <c r="I1463" s="4"/>
      <c r="J1463" s="14"/>
    </row>
    <row r="1464" spans="6:10" ht="12.75">
      <c r="F1464" s="17"/>
      <c r="G1464" s="19"/>
      <c r="H1464" s="23"/>
      <c r="I1464" s="4"/>
      <c r="J1464" s="14"/>
    </row>
    <row r="1465" spans="6:10" ht="12.75">
      <c r="F1465" s="17"/>
      <c r="G1465" s="19"/>
      <c r="H1465" s="23"/>
      <c r="I1465" s="4"/>
      <c r="J1465" s="14"/>
    </row>
    <row r="1466" spans="6:10" ht="12.75">
      <c r="F1466" s="17"/>
      <c r="G1466" s="19"/>
      <c r="H1466" s="23"/>
      <c r="I1466" s="4"/>
      <c r="J1466" s="14"/>
    </row>
    <row r="1467" spans="6:10" ht="12.75">
      <c r="F1467" s="17"/>
      <c r="G1467" s="19"/>
      <c r="H1467" s="23"/>
      <c r="I1467" s="4"/>
      <c r="J1467" s="14"/>
    </row>
    <row r="1468" spans="6:10" ht="12.75">
      <c r="F1468" s="17"/>
      <c r="G1468" s="19"/>
      <c r="H1468" s="23"/>
      <c r="I1468" s="4"/>
      <c r="J1468" s="14"/>
    </row>
    <row r="1469" spans="6:10" ht="12.75">
      <c r="F1469" s="17"/>
      <c r="G1469" s="19"/>
      <c r="H1469" s="23"/>
      <c r="I1469" s="4"/>
      <c r="J1469" s="14"/>
    </row>
    <row r="1470" spans="6:10" ht="12.75">
      <c r="F1470" s="17"/>
      <c r="G1470" s="19"/>
      <c r="H1470" s="23"/>
      <c r="I1470" s="4"/>
      <c r="J1470" s="14"/>
    </row>
    <row r="1471" spans="6:10" ht="12.75">
      <c r="F1471" s="17"/>
      <c r="G1471" s="19"/>
      <c r="H1471" s="23"/>
      <c r="I1471" s="4"/>
      <c r="J1471" s="14"/>
    </row>
    <row r="1472" spans="6:10" ht="12.75">
      <c r="F1472" s="17"/>
      <c r="G1472" s="19"/>
      <c r="H1472" s="23"/>
      <c r="I1472" s="4"/>
      <c r="J1472" s="14"/>
    </row>
    <row r="1473" spans="6:10" ht="12.75">
      <c r="F1473" s="17"/>
      <c r="G1473" s="19"/>
      <c r="H1473" s="23"/>
      <c r="I1473" s="4"/>
      <c r="J1473" s="14"/>
    </row>
    <row r="1474" spans="6:10" ht="12.75">
      <c r="F1474" s="17"/>
      <c r="G1474" s="19"/>
      <c r="H1474" s="23"/>
      <c r="I1474" s="4"/>
      <c r="J1474" s="14"/>
    </row>
    <row r="1475" spans="6:10" ht="12.75">
      <c r="F1475" s="17"/>
      <c r="G1475" s="19"/>
      <c r="H1475" s="23"/>
      <c r="I1475" s="4"/>
      <c r="J1475" s="14"/>
    </row>
    <row r="1476" spans="6:10" ht="12.75">
      <c r="F1476" s="17"/>
      <c r="G1476" s="19"/>
      <c r="H1476" s="23"/>
      <c r="I1476" s="4"/>
      <c r="J1476" s="14"/>
    </row>
    <row r="1477" spans="6:10" ht="12.75">
      <c r="F1477" s="17"/>
      <c r="G1477" s="19"/>
      <c r="H1477" s="23"/>
      <c r="I1477" s="4"/>
      <c r="J1477" s="14"/>
    </row>
    <row r="1478" spans="6:10" ht="12.75">
      <c r="F1478" s="17"/>
      <c r="G1478" s="19"/>
      <c r="H1478" s="23"/>
      <c r="I1478" s="4"/>
      <c r="J1478" s="14"/>
    </row>
    <row r="1479" spans="6:10" ht="12.75">
      <c r="F1479" s="17"/>
      <c r="G1479" s="19"/>
      <c r="H1479" s="23"/>
      <c r="I1479" s="4"/>
      <c r="J1479" s="14"/>
    </row>
    <row r="1480" spans="6:10" ht="12.75">
      <c r="F1480" s="17"/>
      <c r="G1480" s="19"/>
      <c r="H1480" s="23"/>
      <c r="I1480" s="4"/>
      <c r="J1480" s="14"/>
    </row>
    <row r="1481" spans="6:10" ht="12.75">
      <c r="F1481" s="17"/>
      <c r="G1481" s="19"/>
      <c r="H1481" s="23"/>
      <c r="I1481" s="4"/>
      <c r="J1481" s="14"/>
    </row>
    <row r="1482" spans="6:10" ht="12.75">
      <c r="F1482" s="17"/>
      <c r="G1482" s="19"/>
      <c r="H1482" s="23"/>
      <c r="I1482" s="4"/>
      <c r="J1482" s="14"/>
    </row>
    <row r="1483" spans="6:10" ht="12.75">
      <c r="F1483" s="17"/>
      <c r="G1483" s="19"/>
      <c r="H1483" s="23"/>
      <c r="I1483" s="4"/>
      <c r="J1483" s="14"/>
    </row>
    <row r="1484" spans="6:10" ht="12.75">
      <c r="F1484" s="17"/>
      <c r="G1484" s="19"/>
      <c r="H1484" s="23"/>
      <c r="I1484" s="4"/>
      <c r="J1484" s="14"/>
    </row>
    <row r="1485" spans="6:10" ht="12.75">
      <c r="F1485" s="17"/>
      <c r="G1485" s="19"/>
      <c r="H1485" s="23"/>
      <c r="I1485" s="4"/>
      <c r="J1485" s="14"/>
    </row>
    <row r="1486" spans="6:10" ht="12.75">
      <c r="F1486" s="17"/>
      <c r="G1486" s="19"/>
      <c r="H1486" s="23"/>
      <c r="I1486" s="4"/>
      <c r="J1486" s="14"/>
    </row>
    <row r="1487" spans="6:10" ht="12.75">
      <c r="F1487" s="17"/>
      <c r="G1487" s="19"/>
      <c r="H1487" s="23"/>
      <c r="I1487" s="4"/>
      <c r="J1487" s="14"/>
    </row>
    <row r="1488" spans="6:10" ht="12.75">
      <c r="F1488" s="17"/>
      <c r="G1488" s="19"/>
      <c r="H1488" s="23"/>
      <c r="I1488" s="4"/>
      <c r="J1488" s="14"/>
    </row>
    <row r="1489" spans="6:10" ht="12.75">
      <c r="F1489" s="17"/>
      <c r="G1489" s="19"/>
      <c r="H1489" s="23"/>
      <c r="I1489" s="4"/>
      <c r="J1489" s="14"/>
    </row>
    <row r="1490" spans="6:10" ht="12.75">
      <c r="F1490" s="17"/>
      <c r="G1490" s="19"/>
      <c r="H1490" s="23"/>
      <c r="I1490" s="4"/>
      <c r="J1490" s="14"/>
    </row>
    <row r="1491" spans="6:10" ht="12.75">
      <c r="F1491" s="17"/>
      <c r="G1491" s="19"/>
      <c r="H1491" s="23"/>
      <c r="I1491" s="4"/>
      <c r="J1491" s="14"/>
    </row>
    <row r="1492" spans="6:10" ht="12.75">
      <c r="F1492" s="17"/>
      <c r="G1492" s="19"/>
      <c r="H1492" s="23"/>
      <c r="I1492" s="4"/>
      <c r="J1492" s="14"/>
    </row>
    <row r="1493" spans="6:10" ht="12.75">
      <c r="F1493" s="17"/>
      <c r="G1493" s="19"/>
      <c r="H1493" s="23"/>
      <c r="I1493" s="4"/>
      <c r="J1493" s="14"/>
    </row>
    <row r="1494" spans="6:10" ht="12.75">
      <c r="F1494" s="17"/>
      <c r="G1494" s="19"/>
      <c r="H1494" s="23"/>
      <c r="I1494" s="4"/>
      <c r="J1494" s="14"/>
    </row>
    <row r="1495" spans="6:10" ht="12.75">
      <c r="F1495" s="17"/>
      <c r="G1495" s="19"/>
      <c r="H1495" s="23"/>
      <c r="I1495" s="4"/>
      <c r="J1495" s="14"/>
    </row>
    <row r="1496" spans="6:10" ht="12.75">
      <c r="F1496" s="17"/>
      <c r="G1496" s="19"/>
      <c r="H1496" s="23"/>
      <c r="I1496" s="4"/>
      <c r="J1496" s="14"/>
    </row>
    <row r="1497" spans="6:10" ht="12.75">
      <c r="F1497" s="17"/>
      <c r="G1497" s="19"/>
      <c r="H1497" s="23"/>
      <c r="I1497" s="4"/>
      <c r="J1497" s="14"/>
    </row>
    <row r="1498" spans="6:10" ht="12.75">
      <c r="F1498" s="17"/>
      <c r="G1498" s="19"/>
      <c r="H1498" s="23"/>
      <c r="I1498" s="4"/>
      <c r="J1498" s="14"/>
    </row>
    <row r="1499" spans="6:10" ht="12.75">
      <c r="F1499" s="17"/>
      <c r="G1499" s="19"/>
      <c r="H1499" s="23"/>
      <c r="I1499" s="4"/>
      <c r="J1499" s="14"/>
    </row>
    <row r="1500" spans="6:10" ht="12.75">
      <c r="F1500" s="17"/>
      <c r="G1500" s="19"/>
      <c r="H1500" s="23"/>
      <c r="I1500" s="4"/>
      <c r="J1500" s="14"/>
    </row>
    <row r="1501" spans="6:10" ht="12.75">
      <c r="F1501" s="17"/>
      <c r="G1501" s="19"/>
      <c r="H1501" s="23"/>
      <c r="I1501" s="4"/>
      <c r="J1501" s="14"/>
    </row>
    <row r="1502" spans="6:10" ht="12.75">
      <c r="F1502" s="17"/>
      <c r="G1502" s="19"/>
      <c r="H1502" s="23"/>
      <c r="I1502" s="4"/>
      <c r="J1502" s="14"/>
    </row>
    <row r="1503" spans="6:10" ht="12.75">
      <c r="F1503" s="17"/>
      <c r="G1503" s="19"/>
      <c r="H1503" s="23"/>
      <c r="I1503" s="4"/>
      <c r="J1503" s="14"/>
    </row>
    <row r="1504" spans="6:10" ht="12.75">
      <c r="F1504" s="17"/>
      <c r="G1504" s="19"/>
      <c r="H1504" s="23"/>
      <c r="I1504" s="4"/>
      <c r="J1504" s="14"/>
    </row>
    <row r="1505" spans="6:10" ht="12.75">
      <c r="F1505" s="17"/>
      <c r="G1505" s="19"/>
      <c r="H1505" s="23"/>
      <c r="I1505" s="4"/>
      <c r="J1505" s="14"/>
    </row>
    <row r="1506" spans="6:10" ht="12.75">
      <c r="F1506" s="17"/>
      <c r="G1506" s="19"/>
      <c r="H1506" s="23"/>
      <c r="I1506" s="4"/>
      <c r="J1506" s="14"/>
    </row>
    <row r="1507" spans="6:10" ht="12.75">
      <c r="F1507" s="17"/>
      <c r="G1507" s="19"/>
      <c r="H1507" s="23"/>
      <c r="I1507" s="4"/>
      <c r="J1507" s="14"/>
    </row>
    <row r="1508" spans="6:10" ht="12.75">
      <c r="F1508" s="17"/>
      <c r="G1508" s="19"/>
      <c r="H1508" s="23"/>
      <c r="I1508" s="4"/>
      <c r="J1508" s="14"/>
    </row>
    <row r="1509" spans="6:10" ht="12.75">
      <c r="F1509" s="17"/>
      <c r="G1509" s="19"/>
      <c r="H1509" s="23"/>
      <c r="I1509" s="4"/>
      <c r="J1509" s="14"/>
    </row>
    <row r="1510" spans="6:10" ht="12.75">
      <c r="F1510" s="17"/>
      <c r="G1510" s="19"/>
      <c r="H1510" s="23"/>
      <c r="I1510" s="4"/>
      <c r="J1510" s="14"/>
    </row>
    <row r="1511" spans="6:10" ht="12.75">
      <c r="F1511" s="17"/>
      <c r="G1511" s="19"/>
      <c r="H1511" s="23"/>
      <c r="I1511" s="4"/>
      <c r="J1511" s="14"/>
    </row>
    <row r="1512" spans="6:10" ht="12.75">
      <c r="F1512" s="17"/>
      <c r="G1512" s="19"/>
      <c r="H1512" s="23"/>
      <c r="I1512" s="4"/>
      <c r="J1512" s="14"/>
    </row>
    <row r="1513" spans="6:10" ht="12.75">
      <c r="F1513" s="17"/>
      <c r="G1513" s="19"/>
      <c r="H1513" s="23"/>
      <c r="I1513" s="4"/>
      <c r="J1513" s="14"/>
    </row>
    <row r="1514" spans="6:10" ht="12.75">
      <c r="F1514" s="17"/>
      <c r="G1514" s="19"/>
      <c r="H1514" s="23"/>
      <c r="I1514" s="4"/>
      <c r="J1514" s="14"/>
    </row>
    <row r="1515" spans="6:10" ht="12.75">
      <c r="F1515" s="17"/>
      <c r="G1515" s="19"/>
      <c r="H1515" s="23"/>
      <c r="I1515" s="4"/>
      <c r="J1515" s="14"/>
    </row>
    <row r="1516" spans="6:10" ht="12.75">
      <c r="F1516" s="17"/>
      <c r="G1516" s="19"/>
      <c r="H1516" s="23"/>
      <c r="I1516" s="4"/>
      <c r="J1516" s="14"/>
    </row>
    <row r="1517" spans="6:10" ht="12.75">
      <c r="F1517" s="17"/>
      <c r="G1517" s="19"/>
      <c r="H1517" s="23"/>
      <c r="I1517" s="4"/>
      <c r="J1517" s="14"/>
    </row>
    <row r="1518" spans="6:10" ht="12.75">
      <c r="F1518" s="17"/>
      <c r="G1518" s="19"/>
      <c r="H1518" s="23"/>
      <c r="I1518" s="4"/>
      <c r="J1518" s="14"/>
    </row>
    <row r="1519" spans="6:10" ht="12.75">
      <c r="F1519" s="17"/>
      <c r="G1519" s="19"/>
      <c r="H1519" s="23"/>
      <c r="I1519" s="4"/>
      <c r="J1519" s="14"/>
    </row>
    <row r="1520" spans="6:10" ht="12.75">
      <c r="F1520" s="17"/>
      <c r="G1520" s="19"/>
      <c r="H1520" s="23"/>
      <c r="I1520" s="4"/>
      <c r="J1520" s="14"/>
    </row>
    <row r="1521" spans="6:10" ht="12.75">
      <c r="F1521" s="17"/>
      <c r="G1521" s="19"/>
      <c r="H1521" s="23"/>
      <c r="I1521" s="4"/>
      <c r="J1521" s="14"/>
    </row>
    <row r="1522" spans="6:10" ht="12.75">
      <c r="F1522" s="17"/>
      <c r="G1522" s="19"/>
      <c r="H1522" s="23"/>
      <c r="I1522" s="4"/>
      <c r="J1522" s="14"/>
    </row>
    <row r="1523" spans="6:10" ht="12.75">
      <c r="F1523" s="17"/>
      <c r="G1523" s="19"/>
      <c r="H1523" s="23"/>
      <c r="I1523" s="4"/>
      <c r="J1523" s="14"/>
    </row>
    <row r="1524" spans="6:10" ht="12.75">
      <c r="F1524" s="17"/>
      <c r="G1524" s="19"/>
      <c r="H1524" s="23"/>
      <c r="I1524" s="4"/>
      <c r="J1524" s="14"/>
    </row>
    <row r="1525" spans="6:10" ht="12.75">
      <c r="F1525" s="17"/>
      <c r="G1525" s="19"/>
      <c r="H1525" s="23"/>
      <c r="I1525" s="4"/>
      <c r="J1525" s="14"/>
    </row>
    <row r="1526" spans="6:10" ht="12.75">
      <c r="F1526" s="17"/>
      <c r="G1526" s="19"/>
      <c r="H1526" s="23"/>
      <c r="I1526" s="4"/>
      <c r="J1526" s="14"/>
    </row>
    <row r="1527" spans="6:10" ht="12.75">
      <c r="F1527" s="17"/>
      <c r="G1527" s="19"/>
      <c r="H1527" s="23"/>
      <c r="I1527" s="4"/>
      <c r="J1527" s="14"/>
    </row>
    <row r="1528" spans="6:10" ht="12.75">
      <c r="F1528" s="17"/>
      <c r="G1528" s="19"/>
      <c r="H1528" s="23"/>
      <c r="I1528" s="4"/>
      <c r="J1528" s="14"/>
    </row>
    <row r="1529" spans="6:10" ht="12.75">
      <c r="F1529" s="17"/>
      <c r="G1529" s="19"/>
      <c r="H1529" s="23"/>
      <c r="I1529" s="4"/>
      <c r="J1529" s="14"/>
    </row>
    <row r="1530" spans="6:10" ht="12.75">
      <c r="F1530" s="17"/>
      <c r="G1530" s="19"/>
      <c r="H1530" s="23"/>
      <c r="I1530" s="4"/>
      <c r="J1530" s="14"/>
    </row>
    <row r="1531" spans="6:10" ht="12.75">
      <c r="F1531" s="17"/>
      <c r="G1531" s="19"/>
      <c r="H1531" s="23"/>
      <c r="I1531" s="4"/>
      <c r="J1531" s="14"/>
    </row>
    <row r="1532" spans="6:10" ht="12.75">
      <c r="F1532" s="17"/>
      <c r="G1532" s="19"/>
      <c r="H1532" s="23"/>
      <c r="I1532" s="4"/>
      <c r="J1532" s="14"/>
    </row>
    <row r="1533" spans="6:10" ht="12.75">
      <c r="F1533" s="17"/>
      <c r="G1533" s="19"/>
      <c r="H1533" s="23"/>
      <c r="I1533" s="4"/>
      <c r="J1533" s="14"/>
    </row>
    <row r="1534" spans="6:10" ht="12.75">
      <c r="F1534" s="17"/>
      <c r="G1534" s="19"/>
      <c r="H1534" s="23"/>
      <c r="I1534" s="4"/>
      <c r="J1534" s="14"/>
    </row>
    <row r="1535" spans="6:10" ht="12.75">
      <c r="F1535" s="17"/>
      <c r="G1535" s="19"/>
      <c r="H1535" s="23"/>
      <c r="I1535" s="4"/>
      <c r="J1535" s="14"/>
    </row>
    <row r="1536" spans="6:10" ht="12.75">
      <c r="F1536" s="17"/>
      <c r="G1536" s="19"/>
      <c r="H1536" s="23"/>
      <c r="I1536" s="4"/>
      <c r="J1536" s="14"/>
    </row>
    <row r="1537" spans="6:10" ht="12.75">
      <c r="F1537" s="17"/>
      <c r="G1537" s="19"/>
      <c r="H1537" s="23"/>
      <c r="I1537" s="4"/>
      <c r="J1537" s="14"/>
    </row>
    <row r="1538" spans="6:10" ht="12.75">
      <c r="F1538" s="17"/>
      <c r="G1538" s="19"/>
      <c r="H1538" s="23"/>
      <c r="I1538" s="4"/>
      <c r="J1538" s="14"/>
    </row>
    <row r="1539" spans="6:10" ht="12.75">
      <c r="F1539" s="17"/>
      <c r="G1539" s="19"/>
      <c r="H1539" s="23"/>
      <c r="I1539" s="4"/>
      <c r="J1539" s="14"/>
    </row>
    <row r="1540" spans="6:10" ht="12.75">
      <c r="F1540" s="17"/>
      <c r="G1540" s="19"/>
      <c r="H1540" s="23"/>
      <c r="I1540" s="4"/>
      <c r="J1540" s="14"/>
    </row>
    <row r="1541" spans="6:10" ht="12.75">
      <c r="F1541" s="17"/>
      <c r="G1541" s="19"/>
      <c r="H1541" s="23"/>
      <c r="I1541" s="4"/>
      <c r="J1541" s="14"/>
    </row>
    <row r="1542" spans="6:10" ht="12.75">
      <c r="F1542" s="17"/>
      <c r="G1542" s="19"/>
      <c r="H1542" s="23"/>
      <c r="I1542" s="4"/>
      <c r="J1542" s="14"/>
    </row>
    <row r="1543" spans="6:10" ht="12.75">
      <c r="F1543" s="17"/>
      <c r="G1543" s="19"/>
      <c r="H1543" s="23"/>
      <c r="I1543" s="4"/>
      <c r="J1543" s="14"/>
    </row>
    <row r="1544" spans="6:10" ht="12.75">
      <c r="F1544" s="17"/>
      <c r="G1544" s="19"/>
      <c r="H1544" s="23"/>
      <c r="I1544" s="4"/>
      <c r="J1544" s="14"/>
    </row>
    <row r="1545" spans="6:10" ht="12.75">
      <c r="F1545" s="17"/>
      <c r="G1545" s="19"/>
      <c r="H1545" s="23"/>
      <c r="I1545" s="4"/>
      <c r="J1545" s="14"/>
    </row>
    <row r="1546" spans="6:10" ht="12.75">
      <c r="F1546" s="17"/>
      <c r="G1546" s="19"/>
      <c r="H1546" s="23"/>
      <c r="I1546" s="4"/>
      <c r="J1546" s="14"/>
    </row>
    <row r="1547" spans="6:10" ht="12.75">
      <c r="F1547" s="17"/>
      <c r="G1547" s="19"/>
      <c r="H1547" s="23"/>
      <c r="I1547" s="4"/>
      <c r="J1547" s="14"/>
    </row>
    <row r="1548" spans="6:10" ht="12.75">
      <c r="F1548" s="17"/>
      <c r="G1548" s="19"/>
      <c r="H1548" s="23"/>
      <c r="I1548" s="4"/>
      <c r="J1548" s="14"/>
    </row>
    <row r="1549" spans="6:10" ht="12.75">
      <c r="F1549" s="17"/>
      <c r="G1549" s="19"/>
      <c r="H1549" s="23"/>
      <c r="I1549" s="4"/>
      <c r="J1549" s="14"/>
    </row>
    <row r="1550" spans="6:10" ht="12.75">
      <c r="F1550" s="17"/>
      <c r="G1550" s="19"/>
      <c r="H1550" s="23"/>
      <c r="I1550" s="4"/>
      <c r="J1550" s="14"/>
    </row>
    <row r="1551" spans="6:10" ht="12.75">
      <c r="F1551" s="17"/>
      <c r="G1551" s="19"/>
      <c r="H1551" s="23"/>
      <c r="I1551" s="4"/>
      <c r="J1551" s="14"/>
    </row>
    <row r="1552" spans="6:10" ht="12.75">
      <c r="F1552" s="17"/>
      <c r="G1552" s="19"/>
      <c r="H1552" s="23"/>
      <c r="I1552" s="4"/>
      <c r="J1552" s="14"/>
    </row>
    <row r="1553" spans="6:10" ht="12.75">
      <c r="F1553" s="17"/>
      <c r="G1553" s="19"/>
      <c r="H1553" s="23"/>
      <c r="I1553" s="4"/>
      <c r="J1553" s="14"/>
    </row>
    <row r="1554" spans="6:10" ht="12.75">
      <c r="F1554" s="17"/>
      <c r="G1554" s="19"/>
      <c r="H1554" s="23"/>
      <c r="I1554" s="4"/>
      <c r="J1554" s="14"/>
    </row>
    <row r="1555" spans="6:10" ht="12.75">
      <c r="F1555" s="17"/>
      <c r="G1555" s="19"/>
      <c r="H1555" s="23"/>
      <c r="I1555" s="4"/>
      <c r="J1555" s="14"/>
    </row>
    <row r="1556" spans="6:10" ht="12.75">
      <c r="F1556" s="17"/>
      <c r="G1556" s="19"/>
      <c r="H1556" s="23"/>
      <c r="I1556" s="4"/>
      <c r="J1556" s="14"/>
    </row>
    <row r="1557" spans="6:10" ht="12.75">
      <c r="F1557" s="17"/>
      <c r="G1557" s="19"/>
      <c r="H1557" s="23"/>
      <c r="I1557" s="4"/>
      <c r="J1557" s="14"/>
    </row>
    <row r="1558" spans="6:10" ht="12.75">
      <c r="F1558" s="17"/>
      <c r="G1558" s="19"/>
      <c r="H1558" s="23"/>
      <c r="I1558" s="4"/>
      <c r="J1558" s="14"/>
    </row>
    <row r="1559" spans="6:10" ht="12.75">
      <c r="F1559" s="17"/>
      <c r="G1559" s="19"/>
      <c r="H1559" s="23"/>
      <c r="I1559" s="4"/>
      <c r="J1559" s="14"/>
    </row>
    <row r="1560" spans="6:10" ht="12.75">
      <c r="F1560" s="17"/>
      <c r="G1560" s="19"/>
      <c r="H1560" s="23"/>
      <c r="I1560" s="4"/>
      <c r="J1560" s="14"/>
    </row>
    <row r="1561" spans="6:10" ht="12.75">
      <c r="F1561" s="17"/>
      <c r="G1561" s="19"/>
      <c r="H1561" s="23"/>
      <c r="I1561" s="4"/>
      <c r="J1561" s="14"/>
    </row>
    <row r="1562" spans="6:10" ht="12.75">
      <c r="F1562" s="17"/>
      <c r="G1562" s="19"/>
      <c r="H1562" s="23"/>
      <c r="I1562" s="4"/>
      <c r="J1562" s="14"/>
    </row>
    <row r="1563" spans="6:10" ht="12.75">
      <c r="F1563" s="17"/>
      <c r="G1563" s="19"/>
      <c r="H1563" s="23"/>
      <c r="I1563" s="4"/>
      <c r="J1563" s="14"/>
    </row>
    <row r="1564" spans="6:10" ht="12.75">
      <c r="F1564" s="17"/>
      <c r="G1564" s="19"/>
      <c r="H1564" s="23"/>
      <c r="I1564" s="4"/>
      <c r="J1564" s="14"/>
    </row>
    <row r="1565" spans="6:10" ht="12.75">
      <c r="F1565" s="17"/>
      <c r="G1565" s="19"/>
      <c r="H1565" s="23"/>
      <c r="I1565" s="4"/>
      <c r="J1565" s="14"/>
    </row>
    <row r="1566" spans="6:10" ht="12.75">
      <c r="F1566" s="17"/>
      <c r="G1566" s="19"/>
      <c r="H1566" s="23"/>
      <c r="I1566" s="4"/>
      <c r="J1566" s="14"/>
    </row>
    <row r="1567" spans="6:10" ht="12.75">
      <c r="F1567" s="17"/>
      <c r="G1567" s="19"/>
      <c r="H1567" s="23"/>
      <c r="I1567" s="4"/>
      <c r="J1567" s="14"/>
    </row>
    <row r="1568" spans="6:10" ht="12.75">
      <c r="F1568" s="17"/>
      <c r="G1568" s="19"/>
      <c r="H1568" s="23"/>
      <c r="I1568" s="4"/>
      <c r="J1568" s="14"/>
    </row>
    <row r="1569" spans="6:10" ht="12.75">
      <c r="F1569" s="17"/>
      <c r="G1569" s="19"/>
      <c r="H1569" s="23"/>
      <c r="I1569" s="4"/>
      <c r="J1569" s="14"/>
    </row>
    <row r="1570" spans="6:10" ht="12.75">
      <c r="F1570" s="17"/>
      <c r="G1570" s="19"/>
      <c r="H1570" s="23"/>
      <c r="I1570" s="4"/>
      <c r="J1570" s="14"/>
    </row>
    <row r="1571" spans="6:10" ht="12.75">
      <c r="F1571" s="17"/>
      <c r="G1571" s="19"/>
      <c r="H1571" s="23"/>
      <c r="I1571" s="4"/>
      <c r="J1571" s="14"/>
    </row>
    <row r="1572" spans="6:10" ht="12.75">
      <c r="F1572" s="17"/>
      <c r="G1572" s="19"/>
      <c r="H1572" s="23"/>
      <c r="I1572" s="4"/>
      <c r="J1572" s="14"/>
    </row>
    <row r="1573" spans="6:10" ht="12.75">
      <c r="F1573" s="17"/>
      <c r="G1573" s="19"/>
      <c r="H1573" s="23"/>
      <c r="I1573" s="4"/>
      <c r="J1573" s="14"/>
    </row>
    <row r="1574" spans="6:10" ht="12.75">
      <c r="F1574" s="17"/>
      <c r="G1574" s="19"/>
      <c r="H1574" s="23"/>
      <c r="I1574" s="4"/>
      <c r="J1574" s="14"/>
    </row>
    <row r="1575" spans="6:10" ht="12.75">
      <c r="F1575" s="17"/>
      <c r="G1575" s="19"/>
      <c r="H1575" s="23"/>
      <c r="I1575" s="4"/>
      <c r="J1575" s="14"/>
    </row>
    <row r="1576" spans="6:10" ht="12.75">
      <c r="F1576" s="17"/>
      <c r="G1576" s="19"/>
      <c r="H1576" s="23"/>
      <c r="I1576" s="4"/>
      <c r="J1576" s="14"/>
    </row>
    <row r="1577" spans="6:10" ht="12.75">
      <c r="F1577" s="17"/>
      <c r="G1577" s="19"/>
      <c r="H1577" s="23"/>
      <c r="I1577" s="4"/>
      <c r="J1577" s="14"/>
    </row>
    <row r="1578" spans="6:10" ht="12.75">
      <c r="F1578" s="17"/>
      <c r="G1578" s="19"/>
      <c r="H1578" s="23"/>
      <c r="I1578" s="4"/>
      <c r="J1578" s="14"/>
    </row>
    <row r="1579" spans="6:10" ht="12.75">
      <c r="F1579" s="17"/>
      <c r="G1579" s="19"/>
      <c r="H1579" s="23"/>
      <c r="I1579" s="4"/>
      <c r="J1579" s="14"/>
    </row>
    <row r="1580" spans="6:10" ht="12.75">
      <c r="F1580" s="17"/>
      <c r="G1580" s="19"/>
      <c r="H1580" s="23"/>
      <c r="I1580" s="4"/>
      <c r="J1580" s="14"/>
    </row>
    <row r="1581" spans="6:10" ht="12.75">
      <c r="F1581" s="17"/>
      <c r="G1581" s="19"/>
      <c r="H1581" s="23"/>
      <c r="I1581" s="4"/>
      <c r="J1581" s="14"/>
    </row>
    <row r="1582" spans="6:10" ht="12.75">
      <c r="F1582" s="17"/>
      <c r="G1582" s="19"/>
      <c r="H1582" s="23"/>
      <c r="I1582" s="4"/>
      <c r="J1582" s="14"/>
    </row>
    <row r="1583" spans="6:10" ht="12.75">
      <c r="F1583" s="17"/>
      <c r="G1583" s="19"/>
      <c r="H1583" s="23"/>
      <c r="I1583" s="4"/>
      <c r="J1583" s="14"/>
    </row>
    <row r="1584" spans="6:10" ht="12.75">
      <c r="F1584" s="17"/>
      <c r="G1584" s="19"/>
      <c r="H1584" s="23"/>
      <c r="I1584" s="4"/>
      <c r="J1584" s="14"/>
    </row>
    <row r="1585" spans="6:10" ht="12.75">
      <c r="F1585" s="17"/>
      <c r="G1585" s="19"/>
      <c r="H1585" s="23"/>
      <c r="I1585" s="4"/>
      <c r="J1585" s="14"/>
    </row>
    <row r="1586" spans="6:10" ht="12.75">
      <c r="F1586" s="17"/>
      <c r="G1586" s="19"/>
      <c r="H1586" s="23"/>
      <c r="I1586" s="4"/>
      <c r="J1586" s="14"/>
    </row>
    <row r="1587" spans="6:10" ht="12.75">
      <c r="F1587" s="17"/>
      <c r="G1587" s="19"/>
      <c r="H1587" s="23"/>
      <c r="I1587" s="4"/>
      <c r="J1587" s="14"/>
    </row>
    <row r="1588" spans="6:10" ht="12.75">
      <c r="F1588" s="17"/>
      <c r="G1588" s="19"/>
      <c r="H1588" s="23"/>
      <c r="I1588" s="4"/>
      <c r="J1588" s="14"/>
    </row>
    <row r="1589" spans="6:10" ht="12.75">
      <c r="F1589" s="17"/>
      <c r="G1589" s="19"/>
      <c r="H1589" s="23"/>
      <c r="I1589" s="4"/>
      <c r="J1589" s="14"/>
    </row>
    <row r="1590" spans="6:10" ht="12.75">
      <c r="F1590" s="17"/>
      <c r="G1590" s="19"/>
      <c r="H1590" s="23"/>
      <c r="I1590" s="4"/>
      <c r="J1590" s="14"/>
    </row>
    <row r="1591" spans="6:10" ht="12.75">
      <c r="F1591" s="17"/>
      <c r="G1591" s="19"/>
      <c r="H1591" s="23"/>
      <c r="I1591" s="4"/>
      <c r="J1591" s="14"/>
    </row>
    <row r="1592" spans="6:10" ht="12.75">
      <c r="F1592" s="17"/>
      <c r="G1592" s="19"/>
      <c r="H1592" s="23"/>
      <c r="I1592" s="4"/>
      <c r="J1592" s="14"/>
    </row>
    <row r="1593" spans="6:10" ht="12.75">
      <c r="F1593" s="17"/>
      <c r="G1593" s="19"/>
      <c r="H1593" s="23"/>
      <c r="I1593" s="4"/>
      <c r="J1593" s="14"/>
    </row>
    <row r="1594" spans="6:10" ht="12.75">
      <c r="F1594" s="17"/>
      <c r="G1594" s="19"/>
      <c r="H1594" s="23"/>
      <c r="I1594" s="4"/>
      <c r="J1594" s="14"/>
    </row>
    <row r="1595" spans="6:10" ht="12.75">
      <c r="F1595" s="17"/>
      <c r="G1595" s="19"/>
      <c r="H1595" s="23"/>
      <c r="I1595" s="4"/>
      <c r="J1595" s="14"/>
    </row>
    <row r="1596" spans="6:10" ht="12.75">
      <c r="F1596" s="17"/>
      <c r="G1596" s="19"/>
      <c r="H1596" s="23"/>
      <c r="I1596" s="4"/>
      <c r="J1596" s="14"/>
    </row>
    <row r="1597" spans="6:10" ht="12.75">
      <c r="F1597" s="17"/>
      <c r="G1597" s="19"/>
      <c r="H1597" s="23"/>
      <c r="I1597" s="4"/>
      <c r="J1597" s="14"/>
    </row>
    <row r="1598" spans="6:10" ht="12.75">
      <c r="F1598" s="17"/>
      <c r="G1598" s="19"/>
      <c r="H1598" s="23"/>
      <c r="I1598" s="4"/>
      <c r="J1598" s="14"/>
    </row>
    <row r="1599" spans="6:10" ht="12.75">
      <c r="F1599" s="17"/>
      <c r="G1599" s="19"/>
      <c r="H1599" s="23"/>
      <c r="I1599" s="4"/>
      <c r="J1599" s="14"/>
    </row>
    <row r="1600" spans="6:10" ht="12.75">
      <c r="F1600" s="17"/>
      <c r="G1600" s="19"/>
      <c r="H1600" s="23"/>
      <c r="I1600" s="4"/>
      <c r="J1600" s="14"/>
    </row>
    <row r="1601" spans="6:10" ht="12.75">
      <c r="F1601" s="17"/>
      <c r="G1601" s="19"/>
      <c r="H1601" s="23"/>
      <c r="I1601" s="4"/>
      <c r="J1601" s="14"/>
    </row>
    <row r="1602" spans="6:10" ht="12.75">
      <c r="F1602" s="17"/>
      <c r="G1602" s="19"/>
      <c r="H1602" s="23"/>
      <c r="I1602" s="4"/>
      <c r="J1602" s="14"/>
    </row>
    <row r="1603" spans="6:10" ht="12.75">
      <c r="F1603" s="17"/>
      <c r="G1603" s="19"/>
      <c r="H1603" s="23"/>
      <c r="I1603" s="4"/>
      <c r="J1603" s="14"/>
    </row>
    <row r="1604" spans="6:10" ht="12.75">
      <c r="F1604" s="17"/>
      <c r="G1604" s="19"/>
      <c r="H1604" s="23"/>
      <c r="I1604" s="4"/>
      <c r="J1604" s="14"/>
    </row>
    <row r="1605" spans="6:10" ht="12.75">
      <c r="F1605" s="17"/>
      <c r="G1605" s="19"/>
      <c r="H1605" s="23"/>
      <c r="I1605" s="4"/>
      <c r="J1605" s="14"/>
    </row>
    <row r="1606" spans="6:10" ht="12.75">
      <c r="F1606" s="17"/>
      <c r="G1606" s="19"/>
      <c r="H1606" s="23"/>
      <c r="I1606" s="4"/>
      <c r="J1606" s="14"/>
    </row>
    <row r="1607" spans="6:10" ht="12.75">
      <c r="F1607" s="17"/>
      <c r="G1607" s="19"/>
      <c r="H1607" s="23"/>
      <c r="I1607" s="4"/>
      <c r="J1607" s="14"/>
    </row>
    <row r="1608" spans="6:10" ht="12.75">
      <c r="F1608" s="17"/>
      <c r="G1608" s="19"/>
      <c r="H1608" s="23"/>
      <c r="I1608" s="4"/>
      <c r="J1608" s="14"/>
    </row>
    <row r="1609" spans="6:10" ht="12.75">
      <c r="F1609" s="17"/>
      <c r="G1609" s="19"/>
      <c r="H1609" s="23"/>
      <c r="I1609" s="4"/>
      <c r="J1609" s="14"/>
    </row>
    <row r="1610" spans="6:10" ht="12.75">
      <c r="F1610" s="17"/>
      <c r="G1610" s="19"/>
      <c r="H1610" s="23"/>
      <c r="I1610" s="4"/>
      <c r="J1610" s="14"/>
    </row>
    <row r="1611" spans="6:10" ht="12.75">
      <c r="F1611" s="17"/>
      <c r="G1611" s="19"/>
      <c r="H1611" s="23"/>
      <c r="I1611" s="4"/>
      <c r="J1611" s="14"/>
    </row>
    <row r="1612" spans="6:10" ht="12.75">
      <c r="F1612" s="17"/>
      <c r="G1612" s="19"/>
      <c r="H1612" s="23"/>
      <c r="I1612" s="4"/>
      <c r="J1612" s="14"/>
    </row>
    <row r="1613" spans="6:10" ht="12.75">
      <c r="F1613" s="17"/>
      <c r="G1613" s="19"/>
      <c r="H1613" s="23"/>
      <c r="I1613" s="4"/>
      <c r="J1613" s="14"/>
    </row>
    <row r="1614" spans="6:10" ht="12.75">
      <c r="F1614" s="17"/>
      <c r="G1614" s="19"/>
      <c r="H1614" s="23"/>
      <c r="I1614" s="4"/>
      <c r="J1614" s="14"/>
    </row>
    <row r="1615" spans="6:10" ht="12.75">
      <c r="F1615" s="17"/>
      <c r="G1615" s="19"/>
      <c r="H1615" s="23"/>
      <c r="I1615" s="4"/>
      <c r="J1615" s="14"/>
    </row>
    <row r="1616" spans="6:10" ht="12.75">
      <c r="F1616" s="17"/>
      <c r="G1616" s="19"/>
      <c r="H1616" s="23"/>
      <c r="I1616" s="4"/>
      <c r="J1616" s="14"/>
    </row>
    <row r="1617" spans="6:10" ht="12.75">
      <c r="F1617" s="17"/>
      <c r="G1617" s="19"/>
      <c r="H1617" s="23"/>
      <c r="I1617" s="4"/>
      <c r="J1617" s="14"/>
    </row>
    <row r="1618" spans="6:10" ht="12.75">
      <c r="F1618" s="17"/>
      <c r="G1618" s="19"/>
      <c r="H1618" s="23"/>
      <c r="I1618" s="4"/>
      <c r="J1618" s="14"/>
    </row>
    <row r="1619" spans="6:10" ht="12.75">
      <c r="F1619" s="17"/>
      <c r="G1619" s="19"/>
      <c r="H1619" s="23"/>
      <c r="I1619" s="4"/>
      <c r="J1619" s="14"/>
    </row>
    <row r="1620" spans="6:10" ht="12.75">
      <c r="F1620" s="17"/>
      <c r="G1620" s="19"/>
      <c r="H1620" s="23"/>
      <c r="I1620" s="4"/>
      <c r="J1620" s="14"/>
    </row>
    <row r="1621" spans="6:10" ht="12.75">
      <c r="F1621" s="17"/>
      <c r="G1621" s="19"/>
      <c r="H1621" s="23"/>
      <c r="I1621" s="4"/>
      <c r="J1621" s="14"/>
    </row>
    <row r="1622" spans="6:10" ht="12.75">
      <c r="F1622" s="17"/>
      <c r="G1622" s="19"/>
      <c r="H1622" s="23"/>
      <c r="I1622" s="4"/>
      <c r="J1622" s="14"/>
    </row>
    <row r="1623" spans="6:10" ht="12.75">
      <c r="F1623" s="17"/>
      <c r="G1623" s="19"/>
      <c r="H1623" s="23"/>
      <c r="I1623" s="4"/>
      <c r="J1623" s="14"/>
    </row>
    <row r="1624" spans="6:10" ht="12.75">
      <c r="F1624" s="17"/>
      <c r="G1624" s="19"/>
      <c r="H1624" s="23"/>
      <c r="I1624" s="4"/>
      <c r="J1624" s="14"/>
    </row>
    <row r="1625" spans="6:10" ht="12.75">
      <c r="F1625" s="17"/>
      <c r="G1625" s="19"/>
      <c r="H1625" s="23"/>
      <c r="I1625" s="4"/>
      <c r="J1625" s="14"/>
    </row>
    <row r="1626" spans="6:10" ht="12.75">
      <c r="F1626" s="17"/>
      <c r="G1626" s="19"/>
      <c r="H1626" s="23"/>
      <c r="I1626" s="4"/>
      <c r="J1626" s="14"/>
    </row>
    <row r="1627" spans="6:10" ht="12.75">
      <c r="F1627" s="17"/>
      <c r="G1627" s="19"/>
      <c r="H1627" s="23"/>
      <c r="I1627" s="4"/>
      <c r="J1627" s="14"/>
    </row>
    <row r="1628" spans="6:10" ht="12.75">
      <c r="F1628" s="17"/>
      <c r="G1628" s="19"/>
      <c r="H1628" s="23"/>
      <c r="I1628" s="4"/>
      <c r="J1628" s="14"/>
    </row>
    <row r="1629" spans="6:10" ht="12.75">
      <c r="F1629" s="17"/>
      <c r="G1629" s="19"/>
      <c r="H1629" s="23"/>
      <c r="I1629" s="4"/>
      <c r="J1629" s="14"/>
    </row>
    <row r="1630" spans="6:10" ht="12.75">
      <c r="F1630" s="17"/>
      <c r="G1630" s="19"/>
      <c r="H1630" s="23"/>
      <c r="I1630" s="4"/>
      <c r="J1630" s="14"/>
    </row>
    <row r="1631" spans="6:10" ht="12.75">
      <c r="F1631" s="17"/>
      <c r="G1631" s="19"/>
      <c r="H1631" s="23"/>
      <c r="I1631" s="4"/>
      <c r="J1631" s="14"/>
    </row>
    <row r="1632" spans="6:10" ht="12.75">
      <c r="F1632" s="17"/>
      <c r="G1632" s="19"/>
      <c r="H1632" s="23"/>
      <c r="I1632" s="4"/>
      <c r="J1632" s="14"/>
    </row>
    <row r="1633" spans="6:10" ht="12.75">
      <c r="F1633" s="17"/>
      <c r="G1633" s="19"/>
      <c r="H1633" s="23"/>
      <c r="I1633" s="4"/>
      <c r="J1633" s="14"/>
    </row>
    <row r="1634" spans="6:10" ht="12.75">
      <c r="F1634" s="17"/>
      <c r="G1634" s="19"/>
      <c r="H1634" s="23"/>
      <c r="I1634" s="4"/>
      <c r="J1634" s="14"/>
    </row>
    <row r="1635" spans="6:10" ht="12.75">
      <c r="F1635" s="17"/>
      <c r="G1635" s="19"/>
      <c r="H1635" s="23"/>
      <c r="I1635" s="4"/>
      <c r="J1635" s="14"/>
    </row>
    <row r="1636" spans="6:10" ht="12.75">
      <c r="F1636" s="17"/>
      <c r="G1636" s="19"/>
      <c r="H1636" s="23"/>
      <c r="I1636" s="4"/>
      <c r="J1636" s="14"/>
    </row>
    <row r="1637" spans="6:10" ht="12.75">
      <c r="F1637" s="17"/>
      <c r="G1637" s="19"/>
      <c r="H1637" s="23"/>
      <c r="I1637" s="4"/>
      <c r="J1637" s="14"/>
    </row>
    <row r="1638" spans="6:10" ht="12.75">
      <c r="F1638" s="17"/>
      <c r="G1638" s="19"/>
      <c r="H1638" s="23"/>
      <c r="I1638" s="4"/>
      <c r="J1638" s="14"/>
    </row>
    <row r="1639" spans="6:10" ht="12.75">
      <c r="F1639" s="17"/>
      <c r="G1639" s="19"/>
      <c r="H1639" s="23"/>
      <c r="I1639" s="4"/>
      <c r="J1639" s="14"/>
    </row>
    <row r="1640" spans="6:10" ht="12.75">
      <c r="F1640" s="17"/>
      <c r="G1640" s="19"/>
      <c r="H1640" s="23"/>
      <c r="I1640" s="4"/>
      <c r="J1640" s="14"/>
    </row>
    <row r="1641" spans="6:10" ht="12.75">
      <c r="F1641" s="17"/>
      <c r="G1641" s="19"/>
      <c r="H1641" s="23"/>
      <c r="I1641" s="4"/>
      <c r="J1641" s="14"/>
    </row>
    <row r="1642" spans="6:10" ht="12.75">
      <c r="F1642" s="17"/>
      <c r="G1642" s="19"/>
      <c r="H1642" s="23"/>
      <c r="I1642" s="4"/>
      <c r="J1642" s="14"/>
    </row>
    <row r="1643" spans="6:10" ht="12.75">
      <c r="F1643" s="17"/>
      <c r="G1643" s="19"/>
      <c r="H1643" s="23"/>
      <c r="I1643" s="4"/>
      <c r="J1643" s="14"/>
    </row>
    <row r="1644" spans="6:10" ht="12.75">
      <c r="F1644" s="17"/>
      <c r="G1644" s="19"/>
      <c r="H1644" s="23"/>
      <c r="I1644" s="4"/>
      <c r="J1644" s="14"/>
    </row>
    <row r="1645" spans="6:10" ht="12.75">
      <c r="F1645" s="17"/>
      <c r="G1645" s="19"/>
      <c r="H1645" s="23"/>
      <c r="I1645" s="4"/>
      <c r="J1645" s="14"/>
    </row>
    <row r="1646" spans="6:10" ht="12.75">
      <c r="F1646" s="17"/>
      <c r="G1646" s="19"/>
      <c r="H1646" s="23"/>
      <c r="I1646" s="4"/>
      <c r="J1646" s="14"/>
    </row>
    <row r="1647" spans="6:10" ht="12.75">
      <c r="F1647" s="17"/>
      <c r="G1647" s="19"/>
      <c r="H1647" s="23"/>
      <c r="I1647" s="4"/>
      <c r="J1647" s="14"/>
    </row>
    <row r="1648" spans="6:10" ht="12.75">
      <c r="F1648" s="17"/>
      <c r="G1648" s="19"/>
      <c r="H1648" s="23"/>
      <c r="I1648" s="4"/>
      <c r="J1648" s="14"/>
    </row>
    <row r="1649" spans="6:10" ht="12.75">
      <c r="F1649" s="17"/>
      <c r="G1649" s="19"/>
      <c r="H1649" s="23"/>
      <c r="I1649" s="4"/>
      <c r="J1649" s="14"/>
    </row>
    <row r="1650" spans="6:10" ht="12.75">
      <c r="F1650" s="17"/>
      <c r="G1650" s="19"/>
      <c r="H1650" s="23"/>
      <c r="I1650" s="4"/>
      <c r="J1650" s="14"/>
    </row>
    <row r="1651" spans="6:10" ht="12.75">
      <c r="F1651" s="17"/>
      <c r="G1651" s="19"/>
      <c r="H1651" s="23"/>
      <c r="I1651" s="4"/>
      <c r="J1651" s="14"/>
    </row>
    <row r="1652" spans="6:10" ht="12.75">
      <c r="F1652" s="17"/>
      <c r="G1652" s="19"/>
      <c r="H1652" s="23"/>
      <c r="I1652" s="4"/>
      <c r="J1652" s="14"/>
    </row>
    <row r="1653" spans="6:10" ht="12.75">
      <c r="F1653" s="17"/>
      <c r="G1653" s="19"/>
      <c r="H1653" s="23"/>
      <c r="I1653" s="4"/>
      <c r="J1653" s="14"/>
    </row>
    <row r="1654" spans="6:10" ht="12.75">
      <c r="F1654" s="17"/>
      <c r="G1654" s="19"/>
      <c r="H1654" s="23"/>
      <c r="I1654" s="4"/>
      <c r="J1654" s="14"/>
    </row>
    <row r="1655" spans="6:10" ht="12.75">
      <c r="F1655" s="17"/>
      <c r="G1655" s="19"/>
      <c r="H1655" s="23"/>
      <c r="I1655" s="4"/>
      <c r="J1655" s="14"/>
    </row>
    <row r="1656" spans="6:10" ht="12.75">
      <c r="F1656" s="17"/>
      <c r="G1656" s="19"/>
      <c r="H1656" s="23"/>
      <c r="I1656" s="4"/>
      <c r="J1656" s="14"/>
    </row>
    <row r="1657" spans="6:10" ht="12.75">
      <c r="F1657" s="17"/>
      <c r="G1657" s="19"/>
      <c r="H1657" s="23"/>
      <c r="I1657" s="4"/>
      <c r="J1657" s="14"/>
    </row>
    <row r="1658" spans="6:10" ht="12.75">
      <c r="F1658" s="17"/>
      <c r="G1658" s="19"/>
      <c r="H1658" s="23"/>
      <c r="I1658" s="4"/>
      <c r="J1658" s="14"/>
    </row>
    <row r="1659" spans="6:10" ht="12.75">
      <c r="F1659" s="17"/>
      <c r="G1659" s="19"/>
      <c r="H1659" s="23"/>
      <c r="I1659" s="4"/>
      <c r="J1659" s="14"/>
    </row>
    <row r="1660" spans="6:10" ht="12.75">
      <c r="F1660" s="17"/>
      <c r="G1660" s="19"/>
      <c r="H1660" s="23"/>
      <c r="I1660" s="4"/>
      <c r="J1660" s="14"/>
    </row>
    <row r="1661" spans="6:10" ht="12.75">
      <c r="F1661" s="17"/>
      <c r="G1661" s="19"/>
      <c r="H1661" s="23"/>
      <c r="I1661" s="4"/>
      <c r="J1661" s="14"/>
    </row>
    <row r="1662" spans="6:10" ht="12.75">
      <c r="F1662" s="17"/>
      <c r="G1662" s="19"/>
      <c r="H1662" s="23"/>
      <c r="I1662" s="4"/>
      <c r="J1662" s="14"/>
    </row>
    <row r="1663" spans="6:10" ht="12.75">
      <c r="F1663" s="17"/>
      <c r="G1663" s="19"/>
      <c r="H1663" s="23"/>
      <c r="I1663" s="4"/>
      <c r="J1663" s="14"/>
    </row>
    <row r="1664" spans="6:10" ht="12.75">
      <c r="F1664" s="17"/>
      <c r="G1664" s="19"/>
      <c r="H1664" s="23"/>
      <c r="I1664" s="4"/>
      <c r="J1664" s="14"/>
    </row>
    <row r="1665" spans="6:10" ht="12.75">
      <c r="F1665" s="17"/>
      <c r="G1665" s="19"/>
      <c r="H1665" s="23"/>
      <c r="I1665" s="4"/>
      <c r="J1665" s="14"/>
    </row>
    <row r="1666" spans="6:10" ht="12.75">
      <c r="F1666" s="17"/>
      <c r="G1666" s="19"/>
      <c r="H1666" s="23"/>
      <c r="I1666" s="4"/>
      <c r="J1666" s="14"/>
    </row>
    <row r="1667" spans="6:10" ht="12.75">
      <c r="F1667" s="17"/>
      <c r="G1667" s="19"/>
      <c r="H1667" s="23"/>
      <c r="I1667" s="4"/>
      <c r="J1667" s="14"/>
    </row>
    <row r="1668" spans="6:10" ht="12.75">
      <c r="F1668" s="17"/>
      <c r="G1668" s="19"/>
      <c r="H1668" s="23"/>
      <c r="I1668" s="4"/>
      <c r="J1668" s="14"/>
    </row>
    <row r="1669" spans="6:10" ht="12.75">
      <c r="F1669" s="17"/>
      <c r="G1669" s="19"/>
      <c r="H1669" s="23"/>
      <c r="I1669" s="4"/>
      <c r="J1669" s="14"/>
    </row>
    <row r="1670" spans="6:10" ht="12.75">
      <c r="F1670" s="17"/>
      <c r="G1670" s="19"/>
      <c r="H1670" s="23"/>
      <c r="I1670" s="4"/>
      <c r="J1670" s="14"/>
    </row>
    <row r="1671" spans="6:10" ht="12.75">
      <c r="F1671" s="17"/>
      <c r="G1671" s="19"/>
      <c r="H1671" s="23"/>
      <c r="I1671" s="4"/>
      <c r="J1671" s="14"/>
    </row>
    <row r="1672" spans="6:10" ht="12.75">
      <c r="F1672" s="17"/>
      <c r="G1672" s="19"/>
      <c r="H1672" s="23"/>
      <c r="I1672" s="4"/>
      <c r="J1672" s="14"/>
    </row>
    <row r="1673" spans="6:10" ht="12.75">
      <c r="F1673" s="17"/>
      <c r="G1673" s="19"/>
      <c r="H1673" s="23"/>
      <c r="I1673" s="4"/>
      <c r="J1673" s="14"/>
    </row>
    <row r="1674" spans="6:10" ht="12.75">
      <c r="F1674" s="17"/>
      <c r="G1674" s="19"/>
      <c r="H1674" s="23"/>
      <c r="I1674" s="4"/>
      <c r="J1674" s="14"/>
    </row>
    <row r="1675" spans="6:10" ht="12.75">
      <c r="F1675" s="17"/>
      <c r="G1675" s="19"/>
      <c r="H1675" s="23"/>
      <c r="I1675" s="4"/>
      <c r="J1675" s="14"/>
    </row>
    <row r="1676" spans="6:10" ht="12.75">
      <c r="F1676" s="17"/>
      <c r="G1676" s="19"/>
      <c r="H1676" s="23"/>
      <c r="I1676" s="4"/>
      <c r="J1676" s="14"/>
    </row>
    <row r="1677" spans="6:10" ht="12.75">
      <c r="F1677" s="17"/>
      <c r="G1677" s="19"/>
      <c r="H1677" s="23"/>
      <c r="I1677" s="4"/>
      <c r="J1677" s="14"/>
    </row>
    <row r="1678" spans="6:10" ht="12.75">
      <c r="F1678" s="17"/>
      <c r="G1678" s="19"/>
      <c r="H1678" s="23"/>
      <c r="I1678" s="4"/>
      <c r="J1678" s="14"/>
    </row>
    <row r="1679" spans="6:10" ht="12.75">
      <c r="F1679" s="17"/>
      <c r="G1679" s="19"/>
      <c r="H1679" s="23"/>
      <c r="I1679" s="4"/>
      <c r="J1679" s="14"/>
    </row>
    <row r="1680" spans="6:10" ht="12.75">
      <c r="F1680" s="17"/>
      <c r="G1680" s="19"/>
      <c r="H1680" s="23"/>
      <c r="I1680" s="4"/>
      <c r="J1680" s="14"/>
    </row>
    <row r="1681" spans="6:10" ht="12.75">
      <c r="F1681" s="17"/>
      <c r="G1681" s="19"/>
      <c r="H1681" s="23"/>
      <c r="I1681" s="4"/>
      <c r="J1681" s="14"/>
    </row>
    <row r="1682" spans="6:10" ht="12.75">
      <c r="F1682" s="17"/>
      <c r="G1682" s="19"/>
      <c r="H1682" s="23"/>
      <c r="I1682" s="4"/>
      <c r="J1682" s="14"/>
    </row>
    <row r="1683" spans="6:10" ht="12.75">
      <c r="F1683" s="17"/>
      <c r="G1683" s="19"/>
      <c r="H1683" s="23"/>
      <c r="I1683" s="4"/>
      <c r="J1683" s="14"/>
    </row>
    <row r="1684" spans="6:10" ht="12.75">
      <c r="F1684" s="17"/>
      <c r="G1684" s="19"/>
      <c r="H1684" s="23"/>
      <c r="I1684" s="4"/>
      <c r="J1684" s="14"/>
    </row>
    <row r="1685" spans="6:10" ht="12.75">
      <c r="F1685" s="17"/>
      <c r="G1685" s="19"/>
      <c r="H1685" s="23"/>
      <c r="I1685" s="4"/>
      <c r="J1685" s="14"/>
    </row>
    <row r="1686" spans="6:10" ht="12.75">
      <c r="F1686" s="17"/>
      <c r="G1686" s="19"/>
      <c r="H1686" s="23"/>
      <c r="I1686" s="4"/>
      <c r="J1686" s="14"/>
    </row>
    <row r="1687" spans="6:10" ht="12.75">
      <c r="F1687" s="17"/>
      <c r="G1687" s="19"/>
      <c r="H1687" s="23"/>
      <c r="I1687" s="4"/>
      <c r="J1687" s="14"/>
    </row>
    <row r="1688" spans="6:10" ht="12.75">
      <c r="F1688" s="17"/>
      <c r="G1688" s="19"/>
      <c r="H1688" s="23"/>
      <c r="I1688" s="4"/>
      <c r="J1688" s="14"/>
    </row>
    <row r="1689" spans="6:10" ht="12.75">
      <c r="F1689" s="17"/>
      <c r="G1689" s="19"/>
      <c r="H1689" s="23"/>
      <c r="I1689" s="4"/>
      <c r="J1689" s="14"/>
    </row>
    <row r="1690" spans="6:10" ht="12.75">
      <c r="F1690" s="17"/>
      <c r="G1690" s="19"/>
      <c r="H1690" s="23"/>
      <c r="I1690" s="4"/>
      <c r="J1690" s="14"/>
    </row>
    <row r="1691" spans="6:10" ht="12.75">
      <c r="F1691" s="17"/>
      <c r="G1691" s="19"/>
      <c r="H1691" s="23"/>
      <c r="I1691" s="4"/>
      <c r="J1691" s="14"/>
    </row>
    <row r="1692" spans="6:10" ht="12.75">
      <c r="F1692" s="17"/>
      <c r="G1692" s="19"/>
      <c r="H1692" s="23"/>
      <c r="I1692" s="4"/>
      <c r="J1692" s="14"/>
    </row>
    <row r="1693" spans="6:10" ht="12.75">
      <c r="F1693" s="17"/>
      <c r="G1693" s="19"/>
      <c r="H1693" s="23"/>
      <c r="I1693" s="4"/>
      <c r="J1693" s="14"/>
    </row>
    <row r="1694" spans="6:10" ht="12.75">
      <c r="F1694" s="17"/>
      <c r="G1694" s="19"/>
      <c r="H1694" s="23"/>
      <c r="I1694" s="4"/>
      <c r="J1694" s="14"/>
    </row>
    <row r="1695" spans="6:10" ht="12.75">
      <c r="F1695" s="17"/>
      <c r="G1695" s="19"/>
      <c r="H1695" s="23"/>
      <c r="I1695" s="4"/>
      <c r="J1695" s="14"/>
    </row>
    <row r="1696" spans="6:10" ht="12.75">
      <c r="F1696" s="17"/>
      <c r="G1696" s="19"/>
      <c r="H1696" s="23"/>
      <c r="I1696" s="4"/>
      <c r="J1696" s="14"/>
    </row>
    <row r="1697" spans="6:10" ht="12.75">
      <c r="F1697" s="17"/>
      <c r="G1697" s="19"/>
      <c r="H1697" s="23"/>
      <c r="I1697" s="4"/>
      <c r="J1697" s="14"/>
    </row>
    <row r="1698" spans="6:10" ht="12.75">
      <c r="F1698" s="17"/>
      <c r="G1698" s="19"/>
      <c r="H1698" s="23"/>
      <c r="I1698" s="4"/>
      <c r="J1698" s="14"/>
    </row>
    <row r="1699" spans="6:10" ht="12.75">
      <c r="F1699" s="17"/>
      <c r="G1699" s="19"/>
      <c r="H1699" s="23"/>
      <c r="I1699" s="4"/>
      <c r="J1699" s="14"/>
    </row>
    <row r="1700" spans="6:10" ht="12.75">
      <c r="F1700" s="17"/>
      <c r="G1700" s="19"/>
      <c r="H1700" s="23"/>
      <c r="I1700" s="4"/>
      <c r="J1700" s="14"/>
    </row>
    <row r="1701" spans="6:10" ht="12.75">
      <c r="F1701" s="17"/>
      <c r="G1701" s="19"/>
      <c r="H1701" s="23"/>
      <c r="I1701" s="4"/>
      <c r="J1701" s="14"/>
    </row>
    <row r="1702" spans="6:10" ht="12.75">
      <c r="F1702" s="17"/>
      <c r="G1702" s="19"/>
      <c r="H1702" s="23"/>
      <c r="I1702" s="4"/>
      <c r="J1702" s="14"/>
    </row>
    <row r="1703" spans="6:10" ht="12.75">
      <c r="F1703" s="17"/>
      <c r="G1703" s="19"/>
      <c r="H1703" s="23"/>
      <c r="I1703" s="4"/>
      <c r="J1703" s="14"/>
    </row>
    <row r="1704" spans="6:10" ht="12.75">
      <c r="F1704" s="17"/>
      <c r="G1704" s="19"/>
      <c r="H1704" s="23"/>
      <c r="I1704" s="4"/>
      <c r="J1704" s="14"/>
    </row>
    <row r="1705" spans="6:10" ht="12.75">
      <c r="F1705" s="17"/>
      <c r="G1705" s="19"/>
      <c r="H1705" s="23"/>
      <c r="I1705" s="4"/>
      <c r="J1705" s="14"/>
    </row>
    <row r="1706" spans="6:10" ht="12.75">
      <c r="F1706" s="17"/>
      <c r="G1706" s="19"/>
      <c r="H1706" s="23"/>
      <c r="I1706" s="4"/>
      <c r="J1706" s="14"/>
    </row>
    <row r="1707" spans="6:10" ht="12.75">
      <c r="F1707" s="17"/>
      <c r="G1707" s="19"/>
      <c r="H1707" s="23"/>
      <c r="I1707" s="4"/>
      <c r="J1707" s="14"/>
    </row>
    <row r="1708" spans="6:10" ht="12.75">
      <c r="F1708" s="17"/>
      <c r="G1708" s="19"/>
      <c r="H1708" s="23"/>
      <c r="I1708" s="4"/>
      <c r="J1708" s="14"/>
    </row>
    <row r="1709" spans="6:10" ht="12.75">
      <c r="F1709" s="17"/>
      <c r="G1709" s="19"/>
      <c r="H1709" s="23"/>
      <c r="I1709" s="4"/>
      <c r="J1709" s="14"/>
    </row>
    <row r="1710" spans="6:10" ht="12.75">
      <c r="F1710" s="17"/>
      <c r="G1710" s="19"/>
      <c r="H1710" s="23"/>
      <c r="I1710" s="4"/>
      <c r="J1710" s="14"/>
    </row>
    <row r="1711" spans="6:10" ht="12.75">
      <c r="F1711" s="17"/>
      <c r="G1711" s="19"/>
      <c r="H1711" s="23"/>
      <c r="I1711" s="4"/>
      <c r="J1711" s="14"/>
    </row>
    <row r="1712" spans="6:10" ht="12.75">
      <c r="F1712" s="17"/>
      <c r="G1712" s="19"/>
      <c r="H1712" s="23"/>
      <c r="I1712" s="4"/>
      <c r="J1712" s="14"/>
    </row>
    <row r="1713" spans="6:10" ht="12.75">
      <c r="F1713" s="17"/>
      <c r="G1713" s="19"/>
      <c r="H1713" s="23"/>
      <c r="I1713" s="4"/>
      <c r="J1713" s="14"/>
    </row>
    <row r="1714" spans="6:10" ht="12.75">
      <c r="F1714" s="17"/>
      <c r="G1714" s="19"/>
      <c r="H1714" s="23"/>
      <c r="I1714" s="4"/>
      <c r="J1714" s="14"/>
    </row>
    <row r="1715" spans="6:10" ht="12.75">
      <c r="F1715" s="17"/>
      <c r="G1715" s="19"/>
      <c r="H1715" s="23"/>
      <c r="I1715" s="4"/>
      <c r="J1715" s="14"/>
    </row>
    <row r="1716" spans="6:10" ht="12.75">
      <c r="F1716" s="17"/>
      <c r="G1716" s="19"/>
      <c r="H1716" s="23"/>
      <c r="I1716" s="4"/>
      <c r="J1716" s="14"/>
    </row>
    <row r="1717" spans="6:10" ht="12.75">
      <c r="F1717" s="17"/>
      <c r="G1717" s="19"/>
      <c r="H1717" s="23"/>
      <c r="I1717" s="4"/>
      <c r="J1717" s="14"/>
    </row>
    <row r="1718" spans="6:10" ht="12.75">
      <c r="F1718" s="17"/>
      <c r="G1718" s="19"/>
      <c r="H1718" s="23"/>
      <c r="I1718" s="4"/>
      <c r="J1718" s="14"/>
    </row>
    <row r="1719" spans="6:10" ht="12.75">
      <c r="F1719" s="17"/>
      <c r="G1719" s="19"/>
      <c r="H1719" s="23"/>
      <c r="I1719" s="4"/>
      <c r="J1719" s="14"/>
    </row>
    <row r="1720" spans="6:10" ht="12.75">
      <c r="F1720" s="17"/>
      <c r="G1720" s="19"/>
      <c r="H1720" s="23"/>
      <c r="I1720" s="4"/>
      <c r="J1720" s="14"/>
    </row>
    <row r="1721" spans="6:10" ht="12.75">
      <c r="F1721" s="17"/>
      <c r="G1721" s="19"/>
      <c r="H1721" s="23"/>
      <c r="I1721" s="4"/>
      <c r="J1721" s="14"/>
    </row>
    <row r="1722" spans="6:10" ht="12.75">
      <c r="F1722" s="17"/>
      <c r="G1722" s="19"/>
      <c r="H1722" s="23"/>
      <c r="I1722" s="4"/>
      <c r="J1722" s="14"/>
    </row>
    <row r="1723" spans="6:10" ht="12.75">
      <c r="F1723" s="17"/>
      <c r="G1723" s="19"/>
      <c r="H1723" s="23"/>
      <c r="I1723" s="4"/>
      <c r="J1723" s="14"/>
    </row>
    <row r="1724" spans="6:10" ht="12.75">
      <c r="F1724" s="17"/>
      <c r="G1724" s="19"/>
      <c r="H1724" s="23"/>
      <c r="I1724" s="4"/>
      <c r="J1724" s="14"/>
    </row>
    <row r="1725" spans="6:10" ht="12.75">
      <c r="F1725" s="17"/>
      <c r="G1725" s="19"/>
      <c r="H1725" s="23"/>
      <c r="I1725" s="4"/>
      <c r="J1725" s="14"/>
    </row>
    <row r="1726" spans="6:10" ht="12.75">
      <c r="F1726" s="17"/>
      <c r="G1726" s="19"/>
      <c r="H1726" s="23"/>
      <c r="I1726" s="4"/>
      <c r="J1726" s="14"/>
    </row>
    <row r="1727" spans="6:10" ht="12.75">
      <c r="F1727" s="17"/>
      <c r="G1727" s="19"/>
      <c r="H1727" s="23"/>
      <c r="I1727" s="4"/>
      <c r="J1727" s="14"/>
    </row>
    <row r="1728" spans="6:10" ht="12.75">
      <c r="F1728" s="17"/>
      <c r="G1728" s="19"/>
      <c r="H1728" s="23"/>
      <c r="I1728" s="4"/>
      <c r="J1728" s="14"/>
    </row>
    <row r="1729" spans="6:10" ht="12.75">
      <c r="F1729" s="17"/>
      <c r="G1729" s="19"/>
      <c r="H1729" s="23"/>
      <c r="I1729" s="4"/>
      <c r="J1729" s="14"/>
    </row>
    <row r="1730" spans="6:10" ht="12.75">
      <c r="F1730" s="17"/>
      <c r="G1730" s="19"/>
      <c r="H1730" s="23"/>
      <c r="I1730" s="4"/>
      <c r="J1730" s="14"/>
    </row>
    <row r="1731" spans="6:10" ht="12.75">
      <c r="F1731" s="17"/>
      <c r="G1731" s="19"/>
      <c r="H1731" s="23"/>
      <c r="I1731" s="4"/>
      <c r="J1731" s="14"/>
    </row>
    <row r="1732" spans="6:10" ht="12.75">
      <c r="F1732" s="17"/>
      <c r="G1732" s="19"/>
      <c r="H1732" s="23"/>
      <c r="I1732" s="4"/>
      <c r="J1732" s="14"/>
    </row>
    <row r="1733" spans="6:10" ht="12.75">
      <c r="F1733" s="17"/>
      <c r="G1733" s="19"/>
      <c r="H1733" s="23"/>
      <c r="I1733" s="4"/>
      <c r="J1733" s="14"/>
    </row>
    <row r="1734" spans="6:10" ht="12.75">
      <c r="F1734" s="17"/>
      <c r="G1734" s="19"/>
      <c r="H1734" s="23"/>
      <c r="I1734" s="4"/>
      <c r="J1734" s="14"/>
    </row>
    <row r="1735" spans="6:10" ht="12.75">
      <c r="F1735" s="17"/>
      <c r="G1735" s="19"/>
      <c r="H1735" s="23"/>
      <c r="I1735" s="4"/>
      <c r="J1735" s="14"/>
    </row>
    <row r="1736" spans="6:10" ht="12.75">
      <c r="F1736" s="17"/>
      <c r="G1736" s="19"/>
      <c r="H1736" s="23"/>
      <c r="I1736" s="4"/>
      <c r="J1736" s="14"/>
    </row>
    <row r="1737" spans="6:10" ht="12.75">
      <c r="F1737" s="17"/>
      <c r="G1737" s="19"/>
      <c r="H1737" s="23"/>
      <c r="I1737" s="4"/>
      <c r="J1737" s="14"/>
    </row>
    <row r="1738" spans="6:10" ht="12.75">
      <c r="F1738" s="17"/>
      <c r="G1738" s="19"/>
      <c r="H1738" s="23"/>
      <c r="I1738" s="4"/>
      <c r="J1738" s="14"/>
    </row>
    <row r="1739" spans="6:10" ht="12.75">
      <c r="F1739" s="17"/>
      <c r="G1739" s="19"/>
      <c r="H1739" s="23"/>
      <c r="I1739" s="4"/>
      <c r="J1739" s="14"/>
    </row>
    <row r="1740" spans="6:10" ht="12.75">
      <c r="F1740" s="17"/>
      <c r="G1740" s="19"/>
      <c r="H1740" s="23"/>
      <c r="I1740" s="4"/>
      <c r="J1740" s="14"/>
    </row>
    <row r="1741" spans="6:10" ht="12.75">
      <c r="F1741" s="17"/>
      <c r="G1741" s="19"/>
      <c r="H1741" s="23"/>
      <c r="I1741" s="4"/>
      <c r="J1741" s="14"/>
    </row>
    <row r="1742" spans="6:10" ht="12.75">
      <c r="F1742" s="17"/>
      <c r="G1742" s="19"/>
      <c r="H1742" s="23"/>
      <c r="I1742" s="4"/>
      <c r="J1742" s="14"/>
    </row>
    <row r="1743" spans="6:10" ht="12.75">
      <c r="F1743" s="17"/>
      <c r="G1743" s="19"/>
      <c r="H1743" s="23"/>
      <c r="I1743" s="4"/>
      <c r="J1743" s="14"/>
    </row>
    <row r="1744" spans="6:10" ht="12.75">
      <c r="F1744" s="17"/>
      <c r="G1744" s="19"/>
      <c r="H1744" s="23"/>
      <c r="I1744" s="4"/>
      <c r="J1744" s="14"/>
    </row>
    <row r="1745" spans="6:10" ht="12.75">
      <c r="F1745" s="17"/>
      <c r="G1745" s="19"/>
      <c r="H1745" s="23"/>
      <c r="I1745" s="4"/>
      <c r="J1745" s="14"/>
    </row>
    <row r="1746" spans="6:10" ht="12.75">
      <c r="F1746" s="17"/>
      <c r="G1746" s="19"/>
      <c r="H1746" s="23"/>
      <c r="I1746" s="4"/>
      <c r="J1746" s="14"/>
    </row>
    <row r="1747" spans="6:10" ht="12.75">
      <c r="F1747" s="17"/>
      <c r="G1747" s="19"/>
      <c r="H1747" s="23"/>
      <c r="I1747" s="4"/>
      <c r="J1747" s="14"/>
    </row>
    <row r="1748" spans="6:10" ht="12.75">
      <c r="F1748" s="17"/>
      <c r="G1748" s="19"/>
      <c r="H1748" s="23"/>
      <c r="I1748" s="4"/>
      <c r="J1748" s="14"/>
    </row>
    <row r="1749" spans="6:10" ht="12.75">
      <c r="F1749" s="17"/>
      <c r="G1749" s="19"/>
      <c r="H1749" s="23"/>
      <c r="I1749" s="4"/>
      <c r="J1749" s="14"/>
    </row>
    <row r="1750" spans="6:10" ht="12.75">
      <c r="F1750" s="17"/>
      <c r="G1750" s="19"/>
      <c r="H1750" s="23"/>
      <c r="I1750" s="4"/>
      <c r="J1750" s="14"/>
    </row>
    <row r="1751" spans="6:10" ht="12.75">
      <c r="F1751" s="17"/>
      <c r="G1751" s="19"/>
      <c r="H1751" s="23"/>
      <c r="I1751" s="4"/>
      <c r="J1751" s="14"/>
    </row>
    <row r="1752" spans="6:10" ht="12.75">
      <c r="F1752" s="17"/>
      <c r="G1752" s="19"/>
      <c r="H1752" s="23"/>
      <c r="I1752" s="4"/>
      <c r="J1752" s="14"/>
    </row>
    <row r="1753" spans="6:10" ht="12.75">
      <c r="F1753" s="17"/>
      <c r="G1753" s="19"/>
      <c r="H1753" s="23"/>
      <c r="I1753" s="4"/>
      <c r="J1753" s="14"/>
    </row>
    <row r="1754" spans="6:10" ht="12.75">
      <c r="F1754" s="17"/>
      <c r="G1754" s="19"/>
      <c r="H1754" s="23"/>
      <c r="I1754" s="4"/>
      <c r="J1754" s="14"/>
    </row>
    <row r="1755" spans="6:10" ht="12.75">
      <c r="F1755" s="17"/>
      <c r="G1755" s="19"/>
      <c r="H1755" s="23"/>
      <c r="I1755" s="4"/>
      <c r="J1755" s="14"/>
    </row>
    <row r="1756" spans="6:10" ht="12.75">
      <c r="F1756" s="17"/>
      <c r="G1756" s="19"/>
      <c r="H1756" s="23"/>
      <c r="I1756" s="4"/>
      <c r="J1756" s="14"/>
    </row>
    <row r="1757" spans="6:10" ht="12.75">
      <c r="F1757" s="17"/>
      <c r="G1757" s="19"/>
      <c r="H1757" s="23"/>
      <c r="I1757" s="4"/>
      <c r="J1757" s="14"/>
    </row>
    <row r="1758" spans="6:10" ht="12.75">
      <c r="F1758" s="17"/>
      <c r="G1758" s="19"/>
      <c r="H1758" s="23"/>
      <c r="I1758" s="4"/>
      <c r="J1758" s="14"/>
    </row>
    <row r="1759" spans="6:10" ht="12.75">
      <c r="F1759" s="17"/>
      <c r="G1759" s="19"/>
      <c r="H1759" s="23"/>
      <c r="I1759" s="4"/>
      <c r="J1759" s="14"/>
    </row>
    <row r="1760" spans="6:10" ht="12.75">
      <c r="F1760" s="17"/>
      <c r="G1760" s="19"/>
      <c r="H1760" s="23"/>
      <c r="I1760" s="4"/>
      <c r="J1760" s="14"/>
    </row>
    <row r="1761" spans="6:10" ht="12.75">
      <c r="F1761" s="17"/>
      <c r="G1761" s="19"/>
      <c r="H1761" s="23"/>
      <c r="I1761" s="4"/>
      <c r="J1761" s="14"/>
    </row>
    <row r="1762" spans="6:10" ht="12.75">
      <c r="F1762" s="17"/>
      <c r="G1762" s="19"/>
      <c r="H1762" s="23"/>
      <c r="I1762" s="4"/>
      <c r="J1762" s="14"/>
    </row>
    <row r="1763" spans="6:10" ht="12.75">
      <c r="F1763" s="17"/>
      <c r="G1763" s="19"/>
      <c r="H1763" s="23"/>
      <c r="I1763" s="4"/>
      <c r="J1763" s="14"/>
    </row>
    <row r="1764" spans="6:10" ht="12.75">
      <c r="F1764" s="17"/>
      <c r="G1764" s="19"/>
      <c r="H1764" s="23"/>
      <c r="I1764" s="4"/>
      <c r="J1764" s="14"/>
    </row>
    <row r="1765" spans="6:10" ht="12.75">
      <c r="F1765" s="17"/>
      <c r="G1765" s="19"/>
      <c r="H1765" s="23"/>
      <c r="I1765" s="4"/>
      <c r="J1765" s="14"/>
    </row>
    <row r="1766" spans="6:10" ht="12.75">
      <c r="F1766" s="17"/>
      <c r="G1766" s="19"/>
      <c r="H1766" s="23"/>
      <c r="I1766" s="4"/>
      <c r="J1766" s="14"/>
    </row>
    <row r="1767" spans="6:10" ht="12.75">
      <c r="F1767" s="17"/>
      <c r="G1767" s="19"/>
      <c r="H1767" s="23"/>
      <c r="I1767" s="4"/>
      <c r="J1767" s="14"/>
    </row>
    <row r="1768" spans="6:10" ht="12.75">
      <c r="F1768" s="17"/>
      <c r="G1768" s="19"/>
      <c r="H1768" s="23"/>
      <c r="I1768" s="4"/>
      <c r="J1768" s="14"/>
    </row>
    <row r="1769" spans="6:10" ht="12.75">
      <c r="F1769" s="17"/>
      <c r="G1769" s="19"/>
      <c r="H1769" s="23"/>
      <c r="I1769" s="4"/>
      <c r="J1769" s="14"/>
    </row>
    <row r="1770" spans="6:10" ht="12.75">
      <c r="F1770" s="17"/>
      <c r="G1770" s="19"/>
      <c r="H1770" s="23"/>
      <c r="I1770" s="4"/>
      <c r="J1770" s="14"/>
    </row>
    <row r="1771" spans="6:10" ht="12.75">
      <c r="F1771" s="17"/>
      <c r="G1771" s="19"/>
      <c r="H1771" s="23"/>
      <c r="I1771" s="4"/>
      <c r="J1771" s="14"/>
    </row>
    <row r="1772" spans="6:10" ht="12.75">
      <c r="F1772" s="17"/>
      <c r="G1772" s="19"/>
      <c r="H1772" s="23"/>
      <c r="I1772" s="4"/>
      <c r="J1772" s="14"/>
    </row>
    <row r="1773" spans="6:10" ht="12.75">
      <c r="F1773" s="17"/>
      <c r="G1773" s="19"/>
      <c r="H1773" s="23"/>
      <c r="I1773" s="4"/>
      <c r="J1773" s="14"/>
    </row>
    <row r="1774" spans="6:10" ht="12.75">
      <c r="F1774" s="17"/>
      <c r="G1774" s="19"/>
      <c r="H1774" s="23"/>
      <c r="I1774" s="4"/>
      <c r="J1774" s="14"/>
    </row>
    <row r="1775" spans="6:10" ht="12.75">
      <c r="F1775" s="17"/>
      <c r="G1775" s="19"/>
      <c r="H1775" s="23"/>
      <c r="I1775" s="4"/>
      <c r="J1775" s="14"/>
    </row>
    <row r="1776" spans="6:10" ht="12.75">
      <c r="F1776" s="17"/>
      <c r="G1776" s="19"/>
      <c r="H1776" s="23"/>
      <c r="I1776" s="4"/>
      <c r="J1776" s="14"/>
    </row>
    <row r="1777" spans="6:10" ht="12.75">
      <c r="F1777" s="17"/>
      <c r="G1777" s="19"/>
      <c r="H1777" s="23"/>
      <c r="I1777" s="4"/>
      <c r="J1777" s="14"/>
    </row>
    <row r="1778" spans="6:10" ht="12.75">
      <c r="F1778" s="17"/>
      <c r="G1778" s="19"/>
      <c r="H1778" s="23"/>
      <c r="I1778" s="4"/>
      <c r="J1778" s="14"/>
    </row>
    <row r="1779" spans="6:10" ht="12.75">
      <c r="F1779" s="17"/>
      <c r="G1779" s="19"/>
      <c r="H1779" s="23"/>
      <c r="I1779" s="4"/>
      <c r="J1779" s="14"/>
    </row>
    <row r="1780" spans="6:10" ht="12.75">
      <c r="F1780" s="17"/>
      <c r="G1780" s="19"/>
      <c r="H1780" s="23"/>
      <c r="I1780" s="4"/>
      <c r="J1780" s="14"/>
    </row>
    <row r="1781" spans="6:10" ht="12.75">
      <c r="F1781" s="17"/>
      <c r="G1781" s="19"/>
      <c r="H1781" s="23"/>
      <c r="I1781" s="4"/>
      <c r="J1781" s="14"/>
    </row>
    <row r="1782" spans="6:10" ht="12.75">
      <c r="F1782" s="17"/>
      <c r="G1782" s="19"/>
      <c r="H1782" s="23"/>
      <c r="I1782" s="4"/>
      <c r="J1782" s="14"/>
    </row>
    <row r="1783" spans="6:10" ht="12.75">
      <c r="F1783" s="17"/>
      <c r="G1783" s="19"/>
      <c r="H1783" s="23"/>
      <c r="I1783" s="4"/>
      <c r="J1783" s="14"/>
    </row>
    <row r="1784" spans="6:10" ht="12.75">
      <c r="F1784" s="17"/>
      <c r="G1784" s="19"/>
      <c r="H1784" s="23"/>
      <c r="I1784" s="4"/>
      <c r="J1784" s="14"/>
    </row>
    <row r="1785" spans="6:10" ht="12.75">
      <c r="F1785" s="17"/>
      <c r="G1785" s="19"/>
      <c r="H1785" s="23"/>
      <c r="I1785" s="4"/>
      <c r="J1785" s="14"/>
    </row>
    <row r="1786" spans="6:10" ht="12.75">
      <c r="F1786" s="17"/>
      <c r="G1786" s="19"/>
      <c r="H1786" s="23"/>
      <c r="I1786" s="4"/>
      <c r="J1786" s="14"/>
    </row>
    <row r="1787" spans="6:10" ht="12.75">
      <c r="F1787" s="17"/>
      <c r="G1787" s="19"/>
      <c r="H1787" s="23"/>
      <c r="I1787" s="4"/>
      <c r="J1787" s="14"/>
    </row>
    <row r="1788" spans="6:10" ht="12.75">
      <c r="F1788" s="17"/>
      <c r="G1788" s="19"/>
      <c r="H1788" s="23"/>
      <c r="I1788" s="4"/>
      <c r="J1788" s="14"/>
    </row>
    <row r="1789" spans="6:10" ht="12.75">
      <c r="F1789" s="17"/>
      <c r="G1789" s="19"/>
      <c r="H1789" s="23"/>
      <c r="I1789" s="4"/>
      <c r="J1789" s="14"/>
    </row>
    <row r="1790" spans="6:10" ht="12.75">
      <c r="F1790" s="17"/>
      <c r="G1790" s="19"/>
      <c r="H1790" s="23"/>
      <c r="I1790" s="4"/>
      <c r="J1790" s="14"/>
    </row>
    <row r="1791" spans="6:10" ht="12.75">
      <c r="F1791" s="17"/>
      <c r="G1791" s="19"/>
      <c r="H1791" s="23"/>
      <c r="I1791" s="4"/>
      <c r="J1791" s="14"/>
    </row>
    <row r="1792" spans="6:10" ht="12.75">
      <c r="F1792" s="17"/>
      <c r="G1792" s="19"/>
      <c r="H1792" s="23"/>
      <c r="I1792" s="4"/>
      <c r="J1792" s="14"/>
    </row>
    <row r="1793" spans="6:10" ht="12.75">
      <c r="F1793" s="17"/>
      <c r="G1793" s="19"/>
      <c r="H1793" s="23"/>
      <c r="I1793" s="4"/>
      <c r="J1793" s="14"/>
    </row>
    <row r="1794" spans="6:10" ht="12.75">
      <c r="F1794" s="17"/>
      <c r="G1794" s="19"/>
      <c r="H1794" s="23"/>
      <c r="I1794" s="4"/>
      <c r="J1794" s="14"/>
    </row>
    <row r="1795" spans="6:10" ht="12.75">
      <c r="F1795" s="17"/>
      <c r="G1795" s="19"/>
      <c r="H1795" s="23"/>
      <c r="I1795" s="4"/>
      <c r="J1795" s="14"/>
    </row>
    <row r="1796" spans="6:10" ht="12.75">
      <c r="F1796" s="17"/>
      <c r="G1796" s="19"/>
      <c r="H1796" s="23"/>
      <c r="I1796" s="4"/>
      <c r="J1796" s="14"/>
    </row>
    <row r="1797" spans="6:10" ht="12.75">
      <c r="F1797" s="17"/>
      <c r="G1797" s="19"/>
      <c r="H1797" s="23"/>
      <c r="I1797" s="4"/>
      <c r="J1797" s="14"/>
    </row>
    <row r="1798" spans="6:10" ht="12.75">
      <c r="F1798" s="17"/>
      <c r="G1798" s="19"/>
      <c r="H1798" s="23"/>
      <c r="I1798" s="4"/>
      <c r="J1798" s="14"/>
    </row>
    <row r="1799" spans="6:10" ht="12.75">
      <c r="F1799" s="17"/>
      <c r="G1799" s="19"/>
      <c r="H1799" s="23"/>
      <c r="I1799" s="4"/>
      <c r="J1799" s="14"/>
    </row>
    <row r="1800" spans="6:10" ht="12.75">
      <c r="F1800" s="17"/>
      <c r="G1800" s="19"/>
      <c r="H1800" s="23"/>
      <c r="I1800" s="4"/>
      <c r="J1800" s="14"/>
    </row>
    <row r="1801" spans="6:10" ht="12.75">
      <c r="F1801" s="17"/>
      <c r="G1801" s="19"/>
      <c r="H1801" s="23"/>
      <c r="I1801" s="4"/>
      <c r="J1801" s="14"/>
    </row>
    <row r="1802" spans="6:10" ht="12.75">
      <c r="F1802" s="17"/>
      <c r="G1802" s="19"/>
      <c r="H1802" s="23"/>
      <c r="I1802" s="4"/>
      <c r="J1802" s="14"/>
    </row>
    <row r="1803" spans="6:10" ht="12.75">
      <c r="F1803" s="17"/>
      <c r="G1803" s="19"/>
      <c r="H1803" s="23"/>
      <c r="I1803" s="4"/>
      <c r="J1803" s="14"/>
    </row>
    <row r="1804" spans="6:10" ht="12.75">
      <c r="F1804" s="17"/>
      <c r="G1804" s="19"/>
      <c r="H1804" s="23"/>
      <c r="I1804" s="4"/>
      <c r="J1804" s="14"/>
    </row>
    <row r="1805" spans="6:10" ht="12.75">
      <c r="F1805" s="17"/>
      <c r="G1805" s="19"/>
      <c r="H1805" s="23"/>
      <c r="I1805" s="4"/>
      <c r="J1805" s="14"/>
    </row>
    <row r="1806" spans="6:10" ht="12.75">
      <c r="F1806" s="17"/>
      <c r="G1806" s="19"/>
      <c r="H1806" s="23"/>
      <c r="I1806" s="4"/>
      <c r="J1806" s="14"/>
    </row>
    <row r="1807" spans="6:10" ht="12.75">
      <c r="F1807" s="17"/>
      <c r="G1807" s="19"/>
      <c r="H1807" s="23"/>
      <c r="I1807" s="4"/>
      <c r="J1807" s="14"/>
    </row>
    <row r="1808" spans="6:10" ht="12.75">
      <c r="F1808" s="17"/>
      <c r="G1808" s="19"/>
      <c r="H1808" s="23"/>
      <c r="I1808" s="4"/>
      <c r="J1808" s="14"/>
    </row>
    <row r="1809" spans="6:10" ht="12.75">
      <c r="F1809" s="17"/>
      <c r="G1809" s="19"/>
      <c r="H1809" s="23"/>
      <c r="I1809" s="4"/>
      <c r="J1809" s="14"/>
    </row>
    <row r="1810" spans="6:10" ht="12.75">
      <c r="F1810" s="17"/>
      <c r="G1810" s="19"/>
      <c r="H1810" s="23"/>
      <c r="I1810" s="4"/>
      <c r="J1810" s="14"/>
    </row>
    <row r="1811" spans="6:10" ht="12.75">
      <c r="F1811" s="17"/>
      <c r="G1811" s="19"/>
      <c r="H1811" s="23"/>
      <c r="I1811" s="4"/>
      <c r="J1811" s="14"/>
    </row>
    <row r="1812" spans="6:10" ht="12.75">
      <c r="F1812" s="17"/>
      <c r="G1812" s="19"/>
      <c r="H1812" s="23"/>
      <c r="I1812" s="4"/>
      <c r="J1812" s="14"/>
    </row>
    <row r="1813" spans="6:10" ht="12.75">
      <c r="F1813" s="17"/>
      <c r="G1813" s="19"/>
      <c r="H1813" s="23"/>
      <c r="I1813" s="4"/>
      <c r="J1813" s="14"/>
    </row>
    <row r="1814" spans="6:10" ht="12.75">
      <c r="F1814" s="17"/>
      <c r="G1814" s="19"/>
      <c r="H1814" s="23"/>
      <c r="I1814" s="4"/>
      <c r="J1814" s="14"/>
    </row>
    <row r="1815" spans="6:10" ht="12.75">
      <c r="F1815" s="17"/>
      <c r="G1815" s="19"/>
      <c r="H1815" s="23"/>
      <c r="I1815" s="4"/>
      <c r="J1815" s="14"/>
    </row>
    <row r="1816" spans="6:10" ht="12.75">
      <c r="F1816" s="17"/>
      <c r="G1816" s="19"/>
      <c r="H1816" s="23"/>
      <c r="I1816" s="4"/>
      <c r="J1816" s="14"/>
    </row>
    <row r="1817" spans="6:10" ht="12.75">
      <c r="F1817" s="17"/>
      <c r="G1817" s="19"/>
      <c r="H1817" s="23"/>
      <c r="I1817" s="4"/>
      <c r="J1817" s="14"/>
    </row>
    <row r="1818" spans="6:10" ht="12.75">
      <c r="F1818" s="17"/>
      <c r="G1818" s="19"/>
      <c r="H1818" s="23"/>
      <c r="I1818" s="4"/>
      <c r="J1818" s="14"/>
    </row>
    <row r="1819" spans="6:10" ht="12.75">
      <c r="F1819" s="17"/>
      <c r="G1819" s="19"/>
      <c r="H1819" s="23"/>
      <c r="I1819" s="4"/>
      <c r="J1819" s="14"/>
    </row>
    <row r="1820" spans="6:10" ht="12.75">
      <c r="F1820" s="17"/>
      <c r="G1820" s="19"/>
      <c r="H1820" s="23"/>
      <c r="I1820" s="4"/>
      <c r="J1820" s="14"/>
    </row>
    <row r="1821" spans="6:10" ht="12.75">
      <c r="F1821" s="17"/>
      <c r="G1821" s="19"/>
      <c r="H1821" s="23"/>
      <c r="I1821" s="4"/>
      <c r="J1821" s="14"/>
    </row>
    <row r="1822" spans="6:10" ht="12.75">
      <c r="F1822" s="17"/>
      <c r="G1822" s="19"/>
      <c r="H1822" s="23"/>
      <c r="I1822" s="4"/>
      <c r="J1822" s="14"/>
    </row>
    <row r="1823" spans="6:10" ht="12.75">
      <c r="F1823" s="17"/>
      <c r="G1823" s="19"/>
      <c r="H1823" s="23"/>
      <c r="I1823" s="4"/>
      <c r="J1823" s="14"/>
    </row>
    <row r="1824" spans="6:10" ht="12.75">
      <c r="F1824" s="17"/>
      <c r="G1824" s="19"/>
      <c r="H1824" s="23"/>
      <c r="I1824" s="4"/>
      <c r="J1824" s="14"/>
    </row>
    <row r="1825" spans="6:10" ht="12.75">
      <c r="F1825" s="17"/>
      <c r="G1825" s="19"/>
      <c r="H1825" s="23"/>
      <c r="I1825" s="4"/>
      <c r="J1825" s="14"/>
    </row>
    <row r="1826" spans="6:10" ht="12.75">
      <c r="F1826" s="17"/>
      <c r="G1826" s="19"/>
      <c r="H1826" s="23"/>
      <c r="I1826" s="4"/>
      <c r="J1826" s="14"/>
    </row>
    <row r="1827" spans="6:10" ht="12.75">
      <c r="F1827" s="17"/>
      <c r="G1827" s="19"/>
      <c r="H1827" s="23"/>
      <c r="I1827" s="4"/>
      <c r="J1827" s="14"/>
    </row>
    <row r="1828" spans="6:10" ht="12.75">
      <c r="F1828" s="17"/>
      <c r="G1828" s="19"/>
      <c r="H1828" s="23"/>
      <c r="I1828" s="4"/>
      <c r="J1828" s="14"/>
    </row>
    <row r="1829" spans="6:10" ht="12.75">
      <c r="F1829" s="17"/>
      <c r="G1829" s="19"/>
      <c r="H1829" s="23"/>
      <c r="I1829" s="4"/>
      <c r="J1829" s="14"/>
    </row>
    <row r="1830" spans="6:10" ht="12.75">
      <c r="F1830" s="17"/>
      <c r="G1830" s="19"/>
      <c r="H1830" s="23"/>
      <c r="I1830" s="4"/>
      <c r="J1830" s="14"/>
    </row>
    <row r="1831" spans="6:10" ht="12.75">
      <c r="F1831" s="17"/>
      <c r="G1831" s="19"/>
      <c r="H1831" s="23"/>
      <c r="I1831" s="4"/>
      <c r="J1831" s="14"/>
    </row>
    <row r="1832" spans="6:10" ht="12.75">
      <c r="F1832" s="17"/>
      <c r="G1832" s="19"/>
      <c r="H1832" s="23"/>
      <c r="I1832" s="4"/>
      <c r="J1832" s="14"/>
    </row>
    <row r="1833" spans="6:10" ht="12.75">
      <c r="F1833" s="17"/>
      <c r="G1833" s="19"/>
      <c r="H1833" s="23"/>
      <c r="I1833" s="4"/>
      <c r="J1833" s="14"/>
    </row>
    <row r="1834" spans="6:10" ht="12.75">
      <c r="F1834" s="17"/>
      <c r="G1834" s="19"/>
      <c r="H1834" s="23"/>
      <c r="I1834" s="4"/>
      <c r="J1834" s="14"/>
    </row>
    <row r="1835" spans="6:10" ht="12.75">
      <c r="F1835" s="17"/>
      <c r="G1835" s="19"/>
      <c r="H1835" s="23"/>
      <c r="I1835" s="4"/>
      <c r="J1835" s="14"/>
    </row>
    <row r="1836" spans="6:10" ht="12.75">
      <c r="F1836" s="17"/>
      <c r="G1836" s="19"/>
      <c r="H1836" s="23"/>
      <c r="I1836" s="4"/>
      <c r="J1836" s="14"/>
    </row>
    <row r="1837" spans="6:10" ht="12.75">
      <c r="F1837" s="17"/>
      <c r="G1837" s="19"/>
      <c r="H1837" s="23"/>
      <c r="I1837" s="4"/>
      <c r="J1837" s="14"/>
    </row>
    <row r="1838" spans="6:10" ht="12.75">
      <c r="F1838" s="17"/>
      <c r="G1838" s="19"/>
      <c r="H1838" s="23"/>
      <c r="I1838" s="4"/>
      <c r="J1838" s="14"/>
    </row>
    <row r="1839" spans="6:10" ht="12.75">
      <c r="F1839" s="17"/>
      <c r="G1839" s="19"/>
      <c r="H1839" s="23"/>
      <c r="I1839" s="4"/>
      <c r="J1839" s="14"/>
    </row>
    <row r="1840" spans="6:10" ht="12.75">
      <c r="F1840" s="17"/>
      <c r="G1840" s="19"/>
      <c r="H1840" s="23"/>
      <c r="I1840" s="4"/>
      <c r="J1840" s="14"/>
    </row>
    <row r="1841" spans="6:10" ht="12.75">
      <c r="F1841" s="17"/>
      <c r="G1841" s="19"/>
      <c r="H1841" s="23"/>
      <c r="I1841" s="4"/>
      <c r="J1841" s="14"/>
    </row>
    <row r="1842" spans="6:10" ht="12.75">
      <c r="F1842" s="17"/>
      <c r="G1842" s="19"/>
      <c r="H1842" s="23"/>
      <c r="I1842" s="4"/>
      <c r="J1842" s="14"/>
    </row>
    <row r="1843" spans="6:10" ht="12.75">
      <c r="F1843" s="17"/>
      <c r="G1843" s="19"/>
      <c r="H1843" s="23"/>
      <c r="I1843" s="4"/>
      <c r="J1843" s="14"/>
    </row>
    <row r="1844" spans="6:10" ht="12.75">
      <c r="F1844" s="17"/>
      <c r="G1844" s="19"/>
      <c r="H1844" s="23"/>
      <c r="I1844" s="4"/>
      <c r="J1844" s="14"/>
    </row>
    <row r="1845" spans="6:10" ht="12.75">
      <c r="F1845" s="17"/>
      <c r="G1845" s="19"/>
      <c r="H1845" s="23"/>
      <c r="I1845" s="4"/>
      <c r="J1845" s="14"/>
    </row>
    <row r="1846" spans="6:10" ht="12.75">
      <c r="F1846" s="17"/>
      <c r="G1846" s="19"/>
      <c r="H1846" s="23"/>
      <c r="I1846" s="4"/>
      <c r="J1846" s="14"/>
    </row>
    <row r="1847" spans="6:10" ht="12.75">
      <c r="F1847" s="17"/>
      <c r="G1847" s="19"/>
      <c r="H1847" s="23"/>
      <c r="I1847" s="4"/>
      <c r="J1847" s="14"/>
    </row>
    <row r="1848" spans="6:10" ht="12.75">
      <c r="F1848" s="17"/>
      <c r="G1848" s="19"/>
      <c r="H1848" s="23"/>
      <c r="I1848" s="4"/>
      <c r="J1848" s="14"/>
    </row>
    <row r="1849" spans="6:10" ht="12.75">
      <c r="F1849" s="17"/>
      <c r="G1849" s="19"/>
      <c r="H1849" s="23"/>
      <c r="I1849" s="4"/>
      <c r="J1849" s="14"/>
    </row>
    <row r="1850" spans="6:10" ht="12.75">
      <c r="F1850" s="17"/>
      <c r="G1850" s="19"/>
      <c r="H1850" s="23"/>
      <c r="I1850" s="4"/>
      <c r="J1850" s="14"/>
    </row>
    <row r="1851" spans="6:10" ht="12.75">
      <c r="F1851" s="17"/>
      <c r="G1851" s="19"/>
      <c r="H1851" s="23"/>
      <c r="I1851" s="4"/>
      <c r="J1851" s="14"/>
    </row>
    <row r="1852" spans="6:10" ht="12.75">
      <c r="F1852" s="17"/>
      <c r="G1852" s="19"/>
      <c r="H1852" s="23"/>
      <c r="I1852" s="4"/>
      <c r="J1852" s="14"/>
    </row>
    <row r="1853" spans="6:10" ht="12.75">
      <c r="F1853" s="17"/>
      <c r="G1853" s="19"/>
      <c r="H1853" s="23"/>
      <c r="I1853" s="4"/>
      <c r="J1853" s="14"/>
    </row>
    <row r="1854" spans="6:10" ht="12.75">
      <c r="F1854" s="17"/>
      <c r="G1854" s="19"/>
      <c r="H1854" s="23"/>
      <c r="I1854" s="4"/>
      <c r="J1854" s="14"/>
    </row>
    <row r="1855" spans="6:10" ht="12.75">
      <c r="F1855" s="17"/>
      <c r="G1855" s="19"/>
      <c r="H1855" s="23"/>
      <c r="I1855" s="4"/>
      <c r="J1855" s="14"/>
    </row>
    <row r="1856" spans="6:10" ht="12.75">
      <c r="F1856" s="17"/>
      <c r="G1856" s="19"/>
      <c r="H1856" s="23"/>
      <c r="I1856" s="4"/>
      <c r="J1856" s="14"/>
    </row>
    <row r="1857" spans="6:10" ht="12.75">
      <c r="F1857" s="17"/>
      <c r="G1857" s="19"/>
      <c r="H1857" s="23"/>
      <c r="I1857" s="4"/>
      <c r="J1857" s="14"/>
    </row>
    <row r="1858" spans="6:10" ht="12.75">
      <c r="F1858" s="17"/>
      <c r="G1858" s="19"/>
      <c r="H1858" s="23"/>
      <c r="I1858" s="4"/>
      <c r="J1858" s="14"/>
    </row>
    <row r="1859" spans="6:10" ht="12.75">
      <c r="F1859" s="17"/>
      <c r="G1859" s="19"/>
      <c r="H1859" s="23"/>
      <c r="I1859" s="4"/>
      <c r="J1859" s="14"/>
    </row>
    <row r="1860" spans="6:10" ht="12.75">
      <c r="F1860" s="17"/>
      <c r="G1860" s="19"/>
      <c r="H1860" s="23"/>
      <c r="I1860" s="4"/>
      <c r="J1860" s="14"/>
    </row>
    <row r="1861" spans="6:10" ht="12.75">
      <c r="F1861" s="17"/>
      <c r="G1861" s="19"/>
      <c r="H1861" s="23"/>
      <c r="I1861" s="4"/>
      <c r="J1861" s="14"/>
    </row>
    <row r="1862" spans="6:10" ht="12.75">
      <c r="F1862" s="17"/>
      <c r="G1862" s="19"/>
      <c r="H1862" s="23"/>
      <c r="I1862" s="4"/>
      <c r="J1862" s="14"/>
    </row>
    <row r="1863" spans="6:10" ht="12.75">
      <c r="F1863" s="17"/>
      <c r="G1863" s="19"/>
      <c r="H1863" s="23"/>
      <c r="I1863" s="4"/>
      <c r="J1863" s="14"/>
    </row>
    <row r="1864" spans="6:10" ht="12.75">
      <c r="F1864" s="17"/>
      <c r="G1864" s="19"/>
      <c r="H1864" s="23"/>
      <c r="I1864" s="4"/>
      <c r="J1864" s="14"/>
    </row>
    <row r="1865" spans="6:10" ht="12.75">
      <c r="F1865" s="17"/>
      <c r="G1865" s="19"/>
      <c r="H1865" s="23"/>
      <c r="I1865" s="4"/>
      <c r="J1865" s="14"/>
    </row>
    <row r="1866" spans="6:10" ht="12.75">
      <c r="F1866" s="17"/>
      <c r="G1866" s="19"/>
      <c r="H1866" s="23"/>
      <c r="I1866" s="4"/>
      <c r="J1866" s="14"/>
    </row>
    <row r="1867" spans="6:10" ht="12.75">
      <c r="F1867" s="17"/>
      <c r="G1867" s="19"/>
      <c r="H1867" s="23"/>
      <c r="I1867" s="4"/>
      <c r="J1867" s="14"/>
    </row>
    <row r="1868" spans="6:10" ht="12.75">
      <c r="F1868" s="17"/>
      <c r="G1868" s="19"/>
      <c r="H1868" s="23"/>
      <c r="I1868" s="4"/>
      <c r="J1868" s="14"/>
    </row>
    <row r="1869" spans="6:10" ht="12.75">
      <c r="F1869" s="17"/>
      <c r="G1869" s="19"/>
      <c r="H1869" s="23"/>
      <c r="I1869" s="4"/>
      <c r="J1869" s="14"/>
    </row>
    <row r="1870" spans="6:10" ht="12.75">
      <c r="F1870" s="17"/>
      <c r="G1870" s="19"/>
      <c r="H1870" s="23"/>
      <c r="I1870" s="4"/>
      <c r="J1870" s="14"/>
    </row>
    <row r="1871" spans="6:10" ht="12.75">
      <c r="F1871" s="17"/>
      <c r="G1871" s="19"/>
      <c r="H1871" s="23"/>
      <c r="I1871" s="4"/>
      <c r="J1871" s="14"/>
    </row>
    <row r="1872" spans="6:10" ht="12.75">
      <c r="F1872" s="17"/>
      <c r="G1872" s="19"/>
      <c r="H1872" s="23"/>
      <c r="I1872" s="4"/>
      <c r="J1872" s="14"/>
    </row>
    <row r="1873" spans="6:10" ht="12.75">
      <c r="F1873" s="17"/>
      <c r="G1873" s="19"/>
      <c r="H1873" s="23"/>
      <c r="I1873" s="4"/>
      <c r="J1873" s="14"/>
    </row>
    <row r="1874" spans="6:10" ht="12.75">
      <c r="F1874" s="17"/>
      <c r="G1874" s="19"/>
      <c r="H1874" s="23"/>
      <c r="I1874" s="4"/>
      <c r="J1874" s="14"/>
    </row>
    <row r="1875" spans="6:10" ht="12.75">
      <c r="F1875" s="17"/>
      <c r="G1875" s="19"/>
      <c r="H1875" s="23"/>
      <c r="I1875" s="4"/>
      <c r="J1875" s="14"/>
    </row>
    <row r="1876" spans="6:10" ht="12.75">
      <c r="F1876" s="17"/>
      <c r="G1876" s="19"/>
      <c r="H1876" s="23"/>
      <c r="I1876" s="4"/>
      <c r="J1876" s="14"/>
    </row>
    <row r="1877" spans="6:10" ht="12.75">
      <c r="F1877" s="17"/>
      <c r="G1877" s="19"/>
      <c r="H1877" s="23"/>
      <c r="I1877" s="4"/>
      <c r="J1877" s="14"/>
    </row>
    <row r="1878" spans="6:10" ht="12.75">
      <c r="F1878" s="17"/>
      <c r="G1878" s="19"/>
      <c r="H1878" s="23"/>
      <c r="I1878" s="4"/>
      <c r="J1878" s="14"/>
    </row>
    <row r="1879" spans="6:10" ht="12.75">
      <c r="F1879" s="17"/>
      <c r="G1879" s="19"/>
      <c r="H1879" s="23"/>
      <c r="I1879" s="4"/>
      <c r="J1879" s="14"/>
    </row>
    <row r="1880" spans="6:10" ht="12.75">
      <c r="F1880" s="17"/>
      <c r="G1880" s="19"/>
      <c r="H1880" s="23"/>
      <c r="I1880" s="4"/>
      <c r="J1880" s="14"/>
    </row>
    <row r="1881" spans="6:10" ht="12.75">
      <c r="F1881" s="17"/>
      <c r="G1881" s="19"/>
      <c r="H1881" s="23"/>
      <c r="I1881" s="4"/>
      <c r="J1881" s="14"/>
    </row>
    <row r="1882" spans="6:10" ht="12.75">
      <c r="F1882" s="17"/>
      <c r="G1882" s="19"/>
      <c r="H1882" s="23"/>
      <c r="I1882" s="4"/>
      <c r="J1882" s="14"/>
    </row>
    <row r="1883" spans="6:10" ht="12.75">
      <c r="F1883" s="17"/>
      <c r="G1883" s="19"/>
      <c r="H1883" s="23"/>
      <c r="I1883" s="4"/>
      <c r="J1883" s="14"/>
    </row>
    <row r="1884" spans="6:10" ht="12.75">
      <c r="F1884" s="17"/>
      <c r="G1884" s="19"/>
      <c r="H1884" s="23"/>
      <c r="I1884" s="4"/>
      <c r="J1884" s="14"/>
    </row>
    <row r="1885" spans="6:10" ht="12.75">
      <c r="F1885" s="17"/>
      <c r="G1885" s="19"/>
      <c r="H1885" s="23"/>
      <c r="I1885" s="4"/>
      <c r="J1885" s="14"/>
    </row>
    <row r="1886" spans="6:10" ht="12.75">
      <c r="F1886" s="17"/>
      <c r="G1886" s="19"/>
      <c r="H1886" s="23"/>
      <c r="I1886" s="4"/>
      <c r="J1886" s="14"/>
    </row>
    <row r="1887" spans="6:10" ht="12.75">
      <c r="F1887" s="17"/>
      <c r="G1887" s="19"/>
      <c r="H1887" s="23"/>
      <c r="I1887" s="4"/>
      <c r="J1887" s="14"/>
    </row>
    <row r="1888" spans="6:10" ht="12.75">
      <c r="F1888" s="17"/>
      <c r="G1888" s="19"/>
      <c r="H1888" s="23"/>
      <c r="I1888" s="4"/>
      <c r="J1888" s="14"/>
    </row>
    <row r="1889" spans="6:10" ht="12.75">
      <c r="F1889" s="17"/>
      <c r="G1889" s="19"/>
      <c r="H1889" s="23"/>
      <c r="I1889" s="4"/>
      <c r="J1889" s="14"/>
    </row>
    <row r="1890" spans="6:10" ht="12.75">
      <c r="F1890" s="17"/>
      <c r="G1890" s="19"/>
      <c r="H1890" s="23"/>
      <c r="I1890" s="4"/>
      <c r="J1890" s="14"/>
    </row>
    <row r="1891" spans="6:10" ht="12.75">
      <c r="F1891" s="17"/>
      <c r="G1891" s="19"/>
      <c r="H1891" s="23"/>
      <c r="I1891" s="4"/>
      <c r="J1891" s="14"/>
    </row>
    <row r="1892" spans="6:10" ht="12.75">
      <c r="F1892" s="17"/>
      <c r="G1892" s="19"/>
      <c r="H1892" s="23"/>
      <c r="I1892" s="4"/>
      <c r="J1892" s="14"/>
    </row>
    <row r="1893" spans="6:10" ht="12.75">
      <c r="F1893" s="17"/>
      <c r="G1893" s="19"/>
      <c r="H1893" s="23"/>
      <c r="I1893" s="4"/>
      <c r="J1893" s="14"/>
    </row>
    <row r="1894" spans="6:10" ht="12.75">
      <c r="F1894" s="17"/>
      <c r="G1894" s="19"/>
      <c r="H1894" s="23"/>
      <c r="I1894" s="4"/>
      <c r="J1894" s="14"/>
    </row>
    <row r="1895" spans="6:10" ht="12.75">
      <c r="F1895" s="17"/>
      <c r="G1895" s="19"/>
      <c r="H1895" s="23"/>
      <c r="I1895" s="4"/>
      <c r="J1895" s="14"/>
    </row>
    <row r="1896" spans="6:10" ht="12.75">
      <c r="F1896" s="17"/>
      <c r="G1896" s="19"/>
      <c r="H1896" s="23"/>
      <c r="I1896" s="4"/>
      <c r="J1896" s="14"/>
    </row>
    <row r="1897" spans="6:10" ht="12.75">
      <c r="F1897" s="17"/>
      <c r="G1897" s="19"/>
      <c r="H1897" s="23"/>
      <c r="I1897" s="4"/>
      <c r="J1897" s="14"/>
    </row>
    <row r="1898" spans="6:10" ht="12.75">
      <c r="F1898" s="17"/>
      <c r="G1898" s="19"/>
      <c r="H1898" s="23"/>
      <c r="I1898" s="4"/>
      <c r="J1898" s="14"/>
    </row>
    <row r="1899" spans="6:10" ht="12.75">
      <c r="F1899" s="17"/>
      <c r="G1899" s="19"/>
      <c r="H1899" s="23"/>
      <c r="I1899" s="4"/>
      <c r="J1899" s="14"/>
    </row>
    <row r="1900" spans="6:10" ht="12.75">
      <c r="F1900" s="17"/>
      <c r="G1900" s="19"/>
      <c r="H1900" s="23"/>
      <c r="I1900" s="4"/>
      <c r="J1900" s="14"/>
    </row>
    <row r="1901" spans="6:10" ht="12.75">
      <c r="F1901" s="17"/>
      <c r="G1901" s="19"/>
      <c r="H1901" s="23"/>
      <c r="I1901" s="4"/>
      <c r="J1901" s="14"/>
    </row>
    <row r="1902" spans="6:10" ht="12.75">
      <c r="F1902" s="17"/>
      <c r="G1902" s="19"/>
      <c r="H1902" s="23"/>
      <c r="I1902" s="4"/>
      <c r="J1902" s="14"/>
    </row>
    <row r="1903" spans="6:10" ht="12.75">
      <c r="F1903" s="17"/>
      <c r="G1903" s="19"/>
      <c r="H1903" s="23"/>
      <c r="I1903" s="4"/>
      <c r="J1903" s="14"/>
    </row>
    <row r="1904" spans="6:10" ht="12.75">
      <c r="F1904" s="17"/>
      <c r="G1904" s="19"/>
      <c r="H1904" s="23"/>
      <c r="I1904" s="4"/>
      <c r="J1904" s="14"/>
    </row>
    <row r="1905" spans="6:10" ht="12.75">
      <c r="F1905" s="17"/>
      <c r="G1905" s="19"/>
      <c r="H1905" s="23"/>
      <c r="I1905" s="4"/>
      <c r="J1905" s="14"/>
    </row>
    <row r="1906" spans="6:10" ht="12.75">
      <c r="F1906" s="17"/>
      <c r="G1906" s="19"/>
      <c r="H1906" s="23"/>
      <c r="I1906" s="4"/>
      <c r="J1906" s="14"/>
    </row>
    <row r="1907" spans="6:10" ht="12.75">
      <c r="F1907" s="17"/>
      <c r="G1907" s="19"/>
      <c r="H1907" s="23"/>
      <c r="I1907" s="4"/>
      <c r="J1907" s="14"/>
    </row>
    <row r="1908" spans="6:10" ht="12.75">
      <c r="F1908" s="17"/>
      <c r="G1908" s="19"/>
      <c r="H1908" s="23"/>
      <c r="I1908" s="4"/>
      <c r="J1908" s="14"/>
    </row>
    <row r="1909" spans="6:10" ht="12.75">
      <c r="F1909" s="17"/>
      <c r="G1909" s="19"/>
      <c r="H1909" s="23"/>
      <c r="I1909" s="4"/>
      <c r="J1909" s="14"/>
    </row>
    <row r="1910" spans="6:10" ht="12.75">
      <c r="F1910" s="17"/>
      <c r="G1910" s="19"/>
      <c r="H1910" s="23"/>
      <c r="I1910" s="4"/>
      <c r="J1910" s="14"/>
    </row>
    <row r="1911" spans="6:10" ht="12.75">
      <c r="F1911" s="17"/>
      <c r="G1911" s="19"/>
      <c r="H1911" s="23"/>
      <c r="I1911" s="4"/>
      <c r="J1911" s="14"/>
    </row>
    <row r="1912" spans="6:10" ht="12.75">
      <c r="F1912" s="17"/>
      <c r="G1912" s="19"/>
      <c r="H1912" s="23"/>
      <c r="I1912" s="4"/>
      <c r="J1912" s="14"/>
    </row>
    <row r="1913" spans="6:10" ht="12.75">
      <c r="F1913" s="17"/>
      <c r="G1913" s="19"/>
      <c r="H1913" s="23"/>
      <c r="I1913" s="4"/>
      <c r="J1913" s="14"/>
    </row>
    <row r="1914" spans="6:10" ht="12.75">
      <c r="F1914" s="17"/>
      <c r="G1914" s="19"/>
      <c r="H1914" s="23"/>
      <c r="I1914" s="4"/>
      <c r="J1914" s="14"/>
    </row>
    <row r="1915" spans="6:10" ht="12.75">
      <c r="F1915" s="17"/>
      <c r="G1915" s="19"/>
      <c r="H1915" s="23"/>
      <c r="I1915" s="4"/>
      <c r="J1915" s="14"/>
    </row>
    <row r="1916" spans="6:10" ht="12.75">
      <c r="F1916" s="17"/>
      <c r="G1916" s="19"/>
      <c r="H1916" s="23"/>
      <c r="I1916" s="4"/>
      <c r="J1916" s="14"/>
    </row>
    <row r="1917" spans="6:10" ht="12.75">
      <c r="F1917" s="17"/>
      <c r="G1917" s="19"/>
      <c r="H1917" s="23"/>
      <c r="I1917" s="4"/>
      <c r="J1917" s="14"/>
    </row>
    <row r="1918" spans="6:10" ht="12.75">
      <c r="F1918" s="17"/>
      <c r="G1918" s="19"/>
      <c r="H1918" s="23"/>
      <c r="I1918" s="4"/>
      <c r="J1918" s="14"/>
    </row>
    <row r="1919" spans="6:10" ht="12.75">
      <c r="F1919" s="17"/>
      <c r="G1919" s="19"/>
      <c r="H1919" s="23"/>
      <c r="I1919" s="4"/>
      <c r="J1919" s="14"/>
    </row>
    <row r="1920" spans="6:10" ht="12.75">
      <c r="F1920" s="17"/>
      <c r="G1920" s="19"/>
      <c r="H1920" s="23"/>
      <c r="I1920" s="4"/>
      <c r="J1920" s="14"/>
    </row>
    <row r="1921" spans="6:10" ht="12.75">
      <c r="F1921" s="17"/>
      <c r="G1921" s="19"/>
      <c r="H1921" s="23"/>
      <c r="I1921" s="4"/>
      <c r="J1921" s="14"/>
    </row>
    <row r="1922" spans="6:10" ht="12.75">
      <c r="F1922" s="17"/>
      <c r="G1922" s="19"/>
      <c r="H1922" s="23"/>
      <c r="I1922" s="4"/>
      <c r="J1922" s="14"/>
    </row>
    <row r="1923" spans="6:10" ht="12.75">
      <c r="F1923" s="17"/>
      <c r="G1923" s="19"/>
      <c r="H1923" s="23"/>
      <c r="I1923" s="4"/>
      <c r="J1923" s="14"/>
    </row>
    <row r="1924" spans="6:10" ht="12.75">
      <c r="F1924" s="17"/>
      <c r="G1924" s="19"/>
      <c r="H1924" s="23"/>
      <c r="I1924" s="4"/>
      <c r="J1924" s="14"/>
    </row>
    <row r="1925" spans="6:10" ht="12.75">
      <c r="F1925" s="17"/>
      <c r="G1925" s="19"/>
      <c r="H1925" s="23"/>
      <c r="I1925" s="4"/>
      <c r="J1925" s="14"/>
    </row>
    <row r="1926" spans="6:10" ht="12.75">
      <c r="F1926" s="17"/>
      <c r="G1926" s="19"/>
      <c r="H1926" s="23"/>
      <c r="I1926" s="4"/>
      <c r="J1926" s="14"/>
    </row>
    <row r="1927" spans="6:10" ht="12.75">
      <c r="F1927" s="17"/>
      <c r="G1927" s="19"/>
      <c r="H1927" s="23"/>
      <c r="I1927" s="4"/>
      <c r="J1927" s="14"/>
    </row>
    <row r="1928" spans="6:10" ht="12.75">
      <c r="F1928" s="17"/>
      <c r="G1928" s="19"/>
      <c r="H1928" s="23"/>
      <c r="I1928" s="4"/>
      <c r="J1928" s="14"/>
    </row>
    <row r="1929" spans="6:10" ht="12.75">
      <c r="F1929" s="17"/>
      <c r="G1929" s="19"/>
      <c r="H1929" s="23"/>
      <c r="I1929" s="4"/>
      <c r="J1929" s="14"/>
    </row>
    <row r="1930" spans="6:10" ht="12.75">
      <c r="F1930" s="17"/>
      <c r="G1930" s="19"/>
      <c r="H1930" s="23"/>
      <c r="I1930" s="4"/>
      <c r="J1930" s="14"/>
    </row>
    <row r="1931" spans="6:10" ht="12.75">
      <c r="F1931" s="17"/>
      <c r="G1931" s="19"/>
      <c r="H1931" s="23"/>
      <c r="I1931" s="4"/>
      <c r="J1931" s="14"/>
    </row>
    <row r="1932" spans="6:10" ht="12.75">
      <c r="F1932" s="17"/>
      <c r="G1932" s="19"/>
      <c r="H1932" s="23"/>
      <c r="I1932" s="4"/>
      <c r="J1932" s="14"/>
    </row>
    <row r="1933" spans="6:10" ht="12.75">
      <c r="F1933" s="17"/>
      <c r="G1933" s="19"/>
      <c r="H1933" s="23"/>
      <c r="I1933" s="4"/>
      <c r="J1933" s="14"/>
    </row>
    <row r="1934" spans="6:10" ht="12.75">
      <c r="F1934" s="17"/>
      <c r="G1934" s="19"/>
      <c r="H1934" s="23"/>
      <c r="I1934" s="4"/>
      <c r="J1934" s="14"/>
    </row>
    <row r="1935" spans="6:10" ht="12.75">
      <c r="F1935" s="17"/>
      <c r="G1935" s="19"/>
      <c r="H1935" s="23"/>
      <c r="I1935" s="4"/>
      <c r="J1935" s="14"/>
    </row>
    <row r="1936" spans="6:10" ht="12.75">
      <c r="F1936" s="17"/>
      <c r="G1936" s="19"/>
      <c r="H1936" s="23"/>
      <c r="I1936" s="4"/>
      <c r="J1936" s="14"/>
    </row>
    <row r="1937" spans="6:10" ht="12.75">
      <c r="F1937" s="17"/>
      <c r="G1937" s="19"/>
      <c r="H1937" s="23"/>
      <c r="I1937" s="4"/>
      <c r="J1937" s="14"/>
    </row>
    <row r="1938" spans="6:10" ht="12.75">
      <c r="F1938" s="17"/>
      <c r="G1938" s="19"/>
      <c r="H1938" s="23"/>
      <c r="I1938" s="4"/>
      <c r="J1938" s="14"/>
    </row>
    <row r="1939" spans="6:10" ht="12.75">
      <c r="F1939" s="17"/>
      <c r="G1939" s="19"/>
      <c r="H1939" s="23"/>
      <c r="I1939" s="4"/>
      <c r="J1939" s="14"/>
    </row>
    <row r="1940" spans="6:10" ht="12.75">
      <c r="F1940" s="17"/>
      <c r="G1940" s="19"/>
      <c r="H1940" s="23"/>
      <c r="I1940" s="4"/>
      <c r="J1940" s="14"/>
    </row>
    <row r="1941" spans="6:10" ht="12.75">
      <c r="F1941" s="17"/>
      <c r="G1941" s="19"/>
      <c r="H1941" s="23"/>
      <c r="I1941" s="4"/>
      <c r="J1941" s="14"/>
    </row>
    <row r="1942" spans="6:10" ht="12.75">
      <c r="F1942" s="17"/>
      <c r="G1942" s="19"/>
      <c r="H1942" s="23"/>
      <c r="I1942" s="4"/>
      <c r="J1942" s="14"/>
    </row>
    <row r="1943" spans="6:10" ht="12.75">
      <c r="F1943" s="17"/>
      <c r="G1943" s="19"/>
      <c r="H1943" s="23"/>
      <c r="I1943" s="4"/>
      <c r="J1943" s="14"/>
    </row>
    <row r="1944" spans="6:10" ht="12.75">
      <c r="F1944" s="17"/>
      <c r="G1944" s="19"/>
      <c r="H1944" s="23"/>
      <c r="I1944" s="4"/>
      <c r="J1944" s="14"/>
    </row>
    <row r="1945" spans="6:10" ht="12.75">
      <c r="F1945" s="17"/>
      <c r="G1945" s="19"/>
      <c r="H1945" s="23"/>
      <c r="I1945" s="4"/>
      <c r="J1945" s="14"/>
    </row>
    <row r="1946" spans="6:10" ht="12.75">
      <c r="F1946" s="17"/>
      <c r="G1946" s="19"/>
      <c r="H1946" s="23"/>
      <c r="I1946" s="4"/>
      <c r="J1946" s="14"/>
    </row>
    <row r="1947" spans="6:10" ht="12.75">
      <c r="F1947" s="17"/>
      <c r="G1947" s="19"/>
      <c r="H1947" s="23"/>
      <c r="I1947" s="4"/>
      <c r="J1947" s="14"/>
    </row>
    <row r="1948" spans="6:10" ht="12.75">
      <c r="F1948" s="17"/>
      <c r="G1948" s="19"/>
      <c r="H1948" s="23"/>
      <c r="I1948" s="4"/>
      <c r="J1948" s="14"/>
    </row>
    <row r="1949" spans="6:10" ht="12.75">
      <c r="F1949" s="17"/>
      <c r="G1949" s="19"/>
      <c r="H1949" s="23"/>
      <c r="I1949" s="4"/>
      <c r="J1949" s="14"/>
    </row>
    <row r="1950" spans="6:10" ht="12.75">
      <c r="F1950" s="17"/>
      <c r="G1950" s="19"/>
      <c r="H1950" s="23"/>
      <c r="I1950" s="4"/>
      <c r="J1950" s="14"/>
    </row>
    <row r="1951" spans="6:10" ht="12.75">
      <c r="F1951" s="17"/>
      <c r="G1951" s="19"/>
      <c r="H1951" s="23"/>
      <c r="I1951" s="4"/>
      <c r="J1951" s="14"/>
    </row>
    <row r="1952" spans="6:10" ht="12.75">
      <c r="F1952" s="17"/>
      <c r="G1952" s="19"/>
      <c r="H1952" s="23"/>
      <c r="I1952" s="4"/>
      <c r="J1952" s="14"/>
    </row>
    <row r="1953" spans="6:10" ht="12.75">
      <c r="F1953" s="17"/>
      <c r="G1953" s="19"/>
      <c r="H1953" s="23"/>
      <c r="I1953" s="4"/>
      <c r="J1953" s="14"/>
    </row>
    <row r="1954" spans="6:10" ht="12.75">
      <c r="F1954" s="17"/>
      <c r="G1954" s="19"/>
      <c r="H1954" s="23"/>
      <c r="I1954" s="4"/>
      <c r="J1954" s="14"/>
    </row>
    <row r="1955" spans="6:10" ht="12.75">
      <c r="F1955" s="17"/>
      <c r="G1955" s="19"/>
      <c r="H1955" s="23"/>
      <c r="I1955" s="4"/>
      <c r="J1955" s="14"/>
    </row>
    <row r="1956" spans="6:10" ht="12.75">
      <c r="F1956" s="17"/>
      <c r="G1956" s="19"/>
      <c r="H1956" s="23"/>
      <c r="I1956" s="4"/>
      <c r="J1956" s="14"/>
    </row>
    <row r="1957" spans="6:10" ht="12.75">
      <c r="F1957" s="17"/>
      <c r="G1957" s="19"/>
      <c r="H1957" s="23"/>
      <c r="I1957" s="4"/>
      <c r="J1957" s="14"/>
    </row>
    <row r="1958" spans="6:10" ht="12.75">
      <c r="F1958" s="17"/>
      <c r="G1958" s="19"/>
      <c r="H1958" s="23"/>
      <c r="I1958" s="4"/>
      <c r="J1958" s="14"/>
    </row>
    <row r="1959" spans="6:10" ht="12.75">
      <c r="F1959" s="17"/>
      <c r="G1959" s="19"/>
      <c r="H1959" s="23"/>
      <c r="I1959" s="4"/>
      <c r="J1959" s="14"/>
    </row>
    <row r="1960" spans="6:10" ht="12.75">
      <c r="F1960" s="17"/>
      <c r="G1960" s="19"/>
      <c r="H1960" s="23"/>
      <c r="I1960" s="4"/>
      <c r="J1960" s="14"/>
    </row>
    <row r="1961" spans="6:10" ht="12.75">
      <c r="F1961" s="17"/>
      <c r="G1961" s="19"/>
      <c r="H1961" s="23"/>
      <c r="I1961" s="4"/>
      <c r="J1961" s="14"/>
    </row>
    <row r="1962" spans="6:10" ht="12.75">
      <c r="F1962" s="17"/>
      <c r="G1962" s="19"/>
      <c r="H1962" s="23"/>
      <c r="I1962" s="4"/>
      <c r="J1962" s="14"/>
    </row>
    <row r="1963" spans="6:10" ht="12.75">
      <c r="F1963" s="17"/>
      <c r="G1963" s="19"/>
      <c r="H1963" s="23"/>
      <c r="I1963" s="4"/>
      <c r="J1963" s="14"/>
    </row>
    <row r="1964" spans="6:10" ht="12.75">
      <c r="F1964" s="17"/>
      <c r="G1964" s="19"/>
      <c r="H1964" s="23"/>
      <c r="I1964" s="4"/>
      <c r="J1964" s="14"/>
    </row>
    <row r="1965" spans="6:10" ht="12.75">
      <c r="F1965" s="17"/>
      <c r="G1965" s="19"/>
      <c r="H1965" s="23"/>
      <c r="I1965" s="4"/>
      <c r="J1965" s="14"/>
    </row>
    <row r="1966" spans="6:10" ht="12.75">
      <c r="F1966" s="17"/>
      <c r="G1966" s="19"/>
      <c r="H1966" s="23"/>
      <c r="I1966" s="4"/>
      <c r="J1966" s="14"/>
    </row>
    <row r="1967" spans="6:10" ht="12.75">
      <c r="F1967" s="17"/>
      <c r="G1967" s="19"/>
      <c r="H1967" s="23"/>
      <c r="I1967" s="4"/>
      <c r="J1967" s="14"/>
    </row>
    <row r="1968" spans="6:10" ht="12.75">
      <c r="F1968" s="17"/>
      <c r="G1968" s="19"/>
      <c r="H1968" s="23"/>
      <c r="I1968" s="4"/>
      <c r="J1968" s="14"/>
    </row>
    <row r="1969" spans="6:10" ht="12.75">
      <c r="F1969" s="17"/>
      <c r="G1969" s="19"/>
      <c r="H1969" s="23"/>
      <c r="I1969" s="4"/>
      <c r="J1969" s="14"/>
    </row>
    <row r="1970" spans="6:10" ht="12.75">
      <c r="F1970" s="17"/>
      <c r="G1970" s="19"/>
      <c r="H1970" s="23"/>
      <c r="I1970" s="4"/>
      <c r="J1970" s="14"/>
    </row>
    <row r="1971" spans="6:10" ht="12.75">
      <c r="F1971" s="17"/>
      <c r="G1971" s="19"/>
      <c r="H1971" s="23"/>
      <c r="I1971" s="4"/>
      <c r="J1971" s="14"/>
    </row>
    <row r="1972" spans="6:10" ht="12.75">
      <c r="F1972" s="17"/>
      <c r="G1972" s="19"/>
      <c r="H1972" s="23"/>
      <c r="I1972" s="4"/>
      <c r="J1972" s="14"/>
    </row>
    <row r="1973" spans="6:10" ht="12.75">
      <c r="F1973" s="17"/>
      <c r="G1973" s="19"/>
      <c r="H1973" s="23"/>
      <c r="I1973" s="4"/>
      <c r="J1973" s="14"/>
    </row>
    <row r="1974" spans="6:10" ht="12.75">
      <c r="F1974" s="17"/>
      <c r="G1974" s="19"/>
      <c r="H1974" s="23"/>
      <c r="I1974" s="4"/>
      <c r="J1974" s="14"/>
    </row>
    <row r="1975" spans="6:10" ht="12.75">
      <c r="F1975" s="17"/>
      <c r="G1975" s="19"/>
      <c r="H1975" s="23"/>
      <c r="I1975" s="4"/>
      <c r="J1975" s="14"/>
    </row>
    <row r="1976" spans="6:10" ht="12.75">
      <c r="F1976" s="17"/>
      <c r="G1976" s="19"/>
      <c r="H1976" s="23"/>
      <c r="I1976" s="4"/>
      <c r="J1976" s="14"/>
    </row>
    <row r="1977" spans="6:10" ht="12.75">
      <c r="F1977" s="17"/>
      <c r="G1977" s="19"/>
      <c r="H1977" s="23"/>
      <c r="I1977" s="4"/>
      <c r="J1977" s="14"/>
    </row>
    <row r="1978" spans="6:10" ht="12.75">
      <c r="F1978" s="17"/>
      <c r="G1978" s="19"/>
      <c r="H1978" s="23"/>
      <c r="I1978" s="4"/>
      <c r="J1978" s="14"/>
    </row>
    <row r="1979" spans="6:10" ht="12.75">
      <c r="F1979" s="17"/>
      <c r="G1979" s="19"/>
      <c r="H1979" s="23"/>
      <c r="I1979" s="4"/>
      <c r="J1979" s="14"/>
    </row>
    <row r="1980" spans="6:10" ht="12.75">
      <c r="F1980" s="17"/>
      <c r="G1980" s="19"/>
      <c r="H1980" s="23"/>
      <c r="I1980" s="4"/>
      <c r="J1980" s="14"/>
    </row>
    <row r="1981" spans="6:10" ht="12.75">
      <c r="F1981" s="17"/>
      <c r="G1981" s="19"/>
      <c r="H1981" s="23"/>
      <c r="I1981" s="4"/>
      <c r="J1981" s="14"/>
    </row>
    <row r="1982" spans="6:10" ht="12.75">
      <c r="F1982" s="17"/>
      <c r="G1982" s="19"/>
      <c r="H1982" s="23"/>
      <c r="I1982" s="4"/>
      <c r="J1982" s="14"/>
    </row>
    <row r="1983" spans="6:10" ht="12.75">
      <c r="F1983" s="17"/>
      <c r="G1983" s="19"/>
      <c r="H1983" s="23"/>
      <c r="I1983" s="4"/>
      <c r="J1983" s="14"/>
    </row>
    <row r="1984" spans="6:10" ht="12.75">
      <c r="F1984" s="17"/>
      <c r="G1984" s="19"/>
      <c r="H1984" s="23"/>
      <c r="I1984" s="4"/>
      <c r="J1984" s="14"/>
    </row>
    <row r="1985" spans="6:10" ht="12.75">
      <c r="F1985" s="17"/>
      <c r="G1985" s="19"/>
      <c r="H1985" s="23"/>
      <c r="I1985" s="4"/>
      <c r="J1985" s="14"/>
    </row>
    <row r="1986" spans="6:10" ht="12.75">
      <c r="F1986" s="17"/>
      <c r="G1986" s="19"/>
      <c r="H1986" s="23"/>
      <c r="I1986" s="4"/>
      <c r="J1986" s="14"/>
    </row>
    <row r="1987" spans="6:10" ht="12.75">
      <c r="F1987" s="17"/>
      <c r="G1987" s="19"/>
      <c r="H1987" s="23"/>
      <c r="I1987" s="4"/>
      <c r="J1987" s="14"/>
    </row>
    <row r="1988" spans="6:10" ht="12.75">
      <c r="F1988" s="17"/>
      <c r="G1988" s="19"/>
      <c r="H1988" s="23"/>
      <c r="I1988" s="4"/>
      <c r="J1988" s="14"/>
    </row>
    <row r="1989" spans="6:10" ht="12.75">
      <c r="F1989" s="17"/>
      <c r="G1989" s="19"/>
      <c r="H1989" s="23"/>
      <c r="I1989" s="4"/>
      <c r="J1989" s="14"/>
    </row>
    <row r="1990" spans="6:10" ht="12.75">
      <c r="F1990" s="17"/>
      <c r="G1990" s="19"/>
      <c r="H1990" s="23"/>
      <c r="I1990" s="4"/>
      <c r="J1990" s="14"/>
    </row>
    <row r="1991" spans="6:10" ht="12.75">
      <c r="F1991" s="17"/>
      <c r="G1991" s="19"/>
      <c r="H1991" s="23"/>
      <c r="I1991" s="4"/>
      <c r="J1991" s="14"/>
    </row>
    <row r="1992" spans="6:10" ht="12.75">
      <c r="F1992" s="17"/>
      <c r="G1992" s="19"/>
      <c r="H1992" s="23"/>
      <c r="I1992" s="4"/>
      <c r="J1992" s="14"/>
    </row>
    <row r="1993" spans="6:10" ht="12.75">
      <c r="F1993" s="17"/>
      <c r="G1993" s="19"/>
      <c r="H1993" s="23"/>
      <c r="I1993" s="4"/>
      <c r="J1993" s="14"/>
    </row>
    <row r="1994" spans="6:10" ht="12.75">
      <c r="F1994" s="17"/>
      <c r="G1994" s="19"/>
      <c r="H1994" s="23"/>
      <c r="I1994" s="4"/>
      <c r="J1994" s="14"/>
    </row>
    <row r="1995" spans="6:10" ht="12.75">
      <c r="F1995" s="17"/>
      <c r="G1995" s="19"/>
      <c r="H1995" s="23"/>
      <c r="I1995" s="4"/>
      <c r="J1995" s="14"/>
    </row>
    <row r="1996" spans="6:10" ht="12.75">
      <c r="F1996" s="17"/>
      <c r="G1996" s="19"/>
      <c r="H1996" s="23"/>
      <c r="I1996" s="4"/>
      <c r="J1996" s="14"/>
    </row>
    <row r="1997" spans="6:10" ht="12.75">
      <c r="F1997" s="17"/>
      <c r="G1997" s="19"/>
      <c r="H1997" s="23"/>
      <c r="I1997" s="4"/>
      <c r="J1997" s="14"/>
    </row>
    <row r="1998" spans="6:10" ht="12.75">
      <c r="F1998" s="17"/>
      <c r="G1998" s="19"/>
      <c r="H1998" s="23"/>
      <c r="I1998" s="4"/>
      <c r="J1998" s="14"/>
    </row>
    <row r="1999" spans="6:10" ht="12.75">
      <c r="F1999" s="17"/>
      <c r="G1999" s="19"/>
      <c r="H1999" s="23"/>
      <c r="I1999" s="4"/>
      <c r="J1999" s="14"/>
    </row>
    <row r="2000" spans="6:10" ht="12.75">
      <c r="F2000" s="17"/>
      <c r="G2000" s="19"/>
      <c r="H2000" s="23"/>
      <c r="I2000" s="4"/>
      <c r="J2000" s="14"/>
    </row>
    <row r="2001" spans="6:10" ht="12.75">
      <c r="F2001" s="17"/>
      <c r="G2001" s="19"/>
      <c r="H2001" s="23"/>
      <c r="I2001" s="4"/>
      <c r="J2001" s="14"/>
    </row>
    <row r="2002" spans="6:10" ht="12.75">
      <c r="F2002" s="17"/>
      <c r="G2002" s="19"/>
      <c r="H2002" s="23"/>
      <c r="I2002" s="4"/>
      <c r="J2002" s="14"/>
    </row>
    <row r="2003" spans="6:10" ht="12.75">
      <c r="F2003" s="17"/>
      <c r="G2003" s="19"/>
      <c r="H2003" s="23"/>
      <c r="I2003" s="4"/>
      <c r="J2003" s="14"/>
    </row>
    <row r="2004" spans="6:10" ht="12.75">
      <c r="F2004" s="17"/>
      <c r="G2004" s="19"/>
      <c r="H2004" s="23"/>
      <c r="I2004" s="4"/>
      <c r="J2004" s="14"/>
    </row>
    <row r="2005" spans="6:10" ht="12.75">
      <c r="F2005" s="17"/>
      <c r="G2005" s="19"/>
      <c r="H2005" s="23"/>
      <c r="I2005" s="4"/>
      <c r="J2005" s="14"/>
    </row>
    <row r="2006" spans="6:10" ht="12.75">
      <c r="F2006" s="17"/>
      <c r="G2006" s="19"/>
      <c r="H2006" s="23"/>
      <c r="I2006" s="4"/>
      <c r="J2006" s="14"/>
    </row>
    <row r="2007" spans="6:10" ht="12.75">
      <c r="F2007" s="17"/>
      <c r="G2007" s="19"/>
      <c r="H2007" s="23"/>
      <c r="I2007" s="4"/>
      <c r="J2007" s="14"/>
    </row>
    <row r="2008" spans="6:10" ht="12.75">
      <c r="F2008" s="17"/>
      <c r="G2008" s="19"/>
      <c r="H2008" s="23"/>
      <c r="I2008" s="4"/>
      <c r="J2008" s="14"/>
    </row>
    <row r="2009" spans="6:10" ht="12.75">
      <c r="F2009" s="17"/>
      <c r="G2009" s="19"/>
      <c r="H2009" s="23"/>
      <c r="I2009" s="4"/>
      <c r="J2009" s="14"/>
    </row>
    <row r="2010" spans="6:10" ht="12.75">
      <c r="F2010" s="17"/>
      <c r="G2010" s="19"/>
      <c r="H2010" s="23"/>
      <c r="I2010" s="4"/>
      <c r="J2010" s="14"/>
    </row>
    <row r="2011" spans="6:10" ht="12.75">
      <c r="F2011" s="17"/>
      <c r="G2011" s="19"/>
      <c r="H2011" s="23"/>
      <c r="I2011" s="4"/>
      <c r="J2011" s="14"/>
    </row>
    <row r="2012" spans="6:10" ht="12.75">
      <c r="F2012" s="17"/>
      <c r="G2012" s="19"/>
      <c r="H2012" s="23"/>
      <c r="I2012" s="4"/>
      <c r="J2012" s="14"/>
    </row>
    <row r="2013" spans="6:10" ht="12.75">
      <c r="F2013" s="17"/>
      <c r="G2013" s="19"/>
      <c r="H2013" s="23"/>
      <c r="I2013" s="4"/>
      <c r="J2013" s="14"/>
    </row>
    <row r="2014" spans="6:10" ht="12.75">
      <c r="F2014" s="17"/>
      <c r="G2014" s="19"/>
      <c r="H2014" s="23"/>
      <c r="I2014" s="4"/>
      <c r="J2014" s="14"/>
    </row>
    <row r="2015" spans="6:10" ht="12.75">
      <c r="F2015" s="17"/>
      <c r="G2015" s="19"/>
      <c r="H2015" s="23"/>
      <c r="I2015" s="4"/>
      <c r="J2015" s="14"/>
    </row>
    <row r="2016" spans="6:10" ht="12.75">
      <c r="F2016" s="17"/>
      <c r="G2016" s="19"/>
      <c r="H2016" s="23"/>
      <c r="I2016" s="4"/>
      <c r="J2016" s="14"/>
    </row>
    <row r="2017" spans="6:10" ht="12.75">
      <c r="F2017" s="17"/>
      <c r="G2017" s="19"/>
      <c r="H2017" s="23"/>
      <c r="I2017" s="4"/>
      <c r="J2017" s="14"/>
    </row>
    <row r="2018" spans="6:10" ht="12.75">
      <c r="F2018" s="17"/>
      <c r="G2018" s="19"/>
      <c r="H2018" s="23"/>
      <c r="I2018" s="4"/>
      <c r="J2018" s="14"/>
    </row>
    <row r="2019" spans="6:10" ht="12.75">
      <c r="F2019" s="17"/>
      <c r="G2019" s="19"/>
      <c r="H2019" s="23"/>
      <c r="I2019" s="4"/>
      <c r="J2019" s="14"/>
    </row>
    <row r="2020" spans="6:10" ht="12.75">
      <c r="F2020" s="17"/>
      <c r="G2020" s="19"/>
      <c r="H2020" s="23"/>
      <c r="I2020" s="4"/>
      <c r="J2020" s="14"/>
    </row>
    <row r="2021" spans="6:10" ht="12.75">
      <c r="F2021" s="17"/>
      <c r="G2021" s="19"/>
      <c r="H2021" s="23"/>
      <c r="I2021" s="4"/>
      <c r="J2021" s="14"/>
    </row>
    <row r="2022" spans="6:10" ht="12.75">
      <c r="F2022" s="17"/>
      <c r="G2022" s="19"/>
      <c r="H2022" s="23"/>
      <c r="I2022" s="4"/>
      <c r="J2022" s="14"/>
    </row>
    <row r="2023" spans="6:10" ht="12.75">
      <c r="F2023" s="17"/>
      <c r="G2023" s="19"/>
      <c r="H2023" s="23"/>
      <c r="I2023" s="4"/>
      <c r="J2023" s="14"/>
    </row>
    <row r="2024" spans="6:10" ht="12.75">
      <c r="F2024" s="17"/>
      <c r="G2024" s="19"/>
      <c r="H2024" s="23"/>
      <c r="I2024" s="4"/>
      <c r="J2024" s="14"/>
    </row>
    <row r="2025" spans="6:10" ht="12.75">
      <c r="F2025" s="17"/>
      <c r="G2025" s="19"/>
      <c r="H2025" s="23"/>
      <c r="I2025" s="4"/>
      <c r="J2025" s="14"/>
    </row>
    <row r="2026" spans="6:10" ht="12.75">
      <c r="F2026" s="17"/>
      <c r="G2026" s="19"/>
      <c r="H2026" s="23"/>
      <c r="I2026" s="4"/>
      <c r="J2026" s="14"/>
    </row>
    <row r="2027" spans="6:10" ht="12.75">
      <c r="F2027" s="17"/>
      <c r="G2027" s="19"/>
      <c r="H2027" s="23"/>
      <c r="I2027" s="4"/>
      <c r="J2027" s="14"/>
    </row>
    <row r="2028" spans="6:10" ht="12.75">
      <c r="F2028" s="17"/>
      <c r="G2028" s="19"/>
      <c r="H2028" s="23"/>
      <c r="I2028" s="4"/>
      <c r="J2028" s="14"/>
    </row>
    <row r="2029" spans="6:10" ht="12.75">
      <c r="F2029" s="17"/>
      <c r="G2029" s="19"/>
      <c r="H2029" s="23"/>
      <c r="I2029" s="4"/>
      <c r="J2029" s="14"/>
    </row>
    <row r="2030" spans="6:10" ht="12.75">
      <c r="F2030" s="17"/>
      <c r="G2030" s="19"/>
      <c r="H2030" s="23"/>
      <c r="I2030" s="4"/>
      <c r="J2030" s="14"/>
    </row>
    <row r="2031" spans="6:10" ht="12.75">
      <c r="F2031" s="17"/>
      <c r="G2031" s="19"/>
      <c r="H2031" s="23"/>
      <c r="I2031" s="4"/>
      <c r="J2031" s="14"/>
    </row>
    <row r="2032" spans="6:10" ht="12.75">
      <c r="F2032" s="17"/>
      <c r="G2032" s="19"/>
      <c r="H2032" s="23"/>
      <c r="I2032" s="4"/>
      <c r="J2032" s="14"/>
    </row>
    <row r="2033" spans="6:10" ht="12.75">
      <c r="F2033" s="17"/>
      <c r="G2033" s="19"/>
      <c r="H2033" s="23"/>
      <c r="I2033" s="4"/>
      <c r="J2033" s="14"/>
    </row>
    <row r="2034" spans="6:10" ht="12.75">
      <c r="F2034" s="17"/>
      <c r="G2034" s="19"/>
      <c r="H2034" s="23"/>
      <c r="I2034" s="4"/>
      <c r="J2034" s="14"/>
    </row>
    <row r="2035" spans="6:10" ht="12.75">
      <c r="F2035" s="17"/>
      <c r="G2035" s="19"/>
      <c r="H2035" s="23"/>
      <c r="I2035" s="4"/>
      <c r="J2035" s="14"/>
    </row>
    <row r="2036" spans="6:10" ht="12.75">
      <c r="F2036" s="17"/>
      <c r="G2036" s="19"/>
      <c r="H2036" s="23"/>
      <c r="I2036" s="4"/>
      <c r="J2036" s="14"/>
    </row>
    <row r="2037" spans="6:10" ht="12.75">
      <c r="F2037" s="17"/>
      <c r="G2037" s="19"/>
      <c r="H2037" s="23"/>
      <c r="I2037" s="4"/>
      <c r="J2037" s="14"/>
    </row>
    <row r="2038" spans="6:10" ht="12.75">
      <c r="F2038" s="17"/>
      <c r="G2038" s="19"/>
      <c r="H2038" s="23"/>
      <c r="I2038" s="4"/>
      <c r="J2038" s="14"/>
    </row>
    <row r="2039" spans="6:10" ht="12.75">
      <c r="F2039" s="17"/>
      <c r="G2039" s="19"/>
      <c r="H2039" s="23"/>
      <c r="I2039" s="4"/>
      <c r="J2039" s="14"/>
    </row>
    <row r="2040" spans="6:10" ht="12.75">
      <c r="F2040" s="17"/>
      <c r="G2040" s="19"/>
      <c r="H2040" s="23"/>
      <c r="I2040" s="4"/>
      <c r="J2040" s="14"/>
    </row>
    <row r="2041" spans="6:10" ht="12.75">
      <c r="F2041" s="17"/>
      <c r="G2041" s="19"/>
      <c r="H2041" s="23"/>
      <c r="I2041" s="4"/>
      <c r="J2041" s="14"/>
    </row>
    <row r="2042" spans="6:10" ht="12.75">
      <c r="F2042" s="17"/>
      <c r="G2042" s="19"/>
      <c r="H2042" s="23"/>
      <c r="I2042" s="4"/>
      <c r="J2042" s="14"/>
    </row>
    <row r="2043" spans="6:10" ht="12.75">
      <c r="F2043" s="17"/>
      <c r="G2043" s="19"/>
      <c r="H2043" s="23"/>
      <c r="I2043" s="4"/>
      <c r="J2043" s="14"/>
    </row>
    <row r="2044" spans="6:10" ht="12.75">
      <c r="F2044" s="17"/>
      <c r="G2044" s="19"/>
      <c r="H2044" s="23"/>
      <c r="I2044" s="4"/>
      <c r="J2044" s="14"/>
    </row>
    <row r="2045" spans="6:10" ht="12.75">
      <c r="F2045" s="17"/>
      <c r="G2045" s="19"/>
      <c r="H2045" s="23"/>
      <c r="I2045" s="4"/>
      <c r="J2045" s="14"/>
    </row>
    <row r="2046" spans="6:10" ht="12.75">
      <c r="F2046" s="17"/>
      <c r="G2046" s="19"/>
      <c r="H2046" s="23"/>
      <c r="I2046" s="4"/>
      <c r="J2046" s="14"/>
    </row>
    <row r="2047" spans="6:10" ht="12.75">
      <c r="F2047" s="17"/>
      <c r="G2047" s="19"/>
      <c r="H2047" s="23"/>
      <c r="I2047" s="4"/>
      <c r="J2047" s="14"/>
    </row>
    <row r="2048" spans="6:10" ht="12.75">
      <c r="F2048" s="17"/>
      <c r="G2048" s="19"/>
      <c r="H2048" s="23"/>
      <c r="I2048" s="4"/>
      <c r="J2048" s="14"/>
    </row>
    <row r="2049" spans="6:10" ht="12.75">
      <c r="F2049" s="17"/>
      <c r="G2049" s="19"/>
      <c r="H2049" s="23"/>
      <c r="I2049" s="4"/>
      <c r="J2049" s="14"/>
    </row>
    <row r="2050" spans="6:10" ht="12.75">
      <c r="F2050" s="17"/>
      <c r="G2050" s="19"/>
      <c r="H2050" s="23"/>
      <c r="I2050" s="4"/>
      <c r="J2050" s="14"/>
    </row>
    <row r="2051" spans="6:10" ht="12.75">
      <c r="F2051" s="17"/>
      <c r="G2051" s="19"/>
      <c r="H2051" s="23"/>
      <c r="I2051" s="4"/>
      <c r="J2051" s="14"/>
    </row>
    <row r="2052" spans="6:10" ht="12.75">
      <c r="F2052" s="17"/>
      <c r="G2052" s="19"/>
      <c r="H2052" s="23"/>
      <c r="I2052" s="4"/>
      <c r="J2052" s="14"/>
    </row>
    <row r="2053" spans="6:10" ht="12.75">
      <c r="F2053" s="17"/>
      <c r="G2053" s="19"/>
      <c r="H2053" s="23"/>
      <c r="I2053" s="4"/>
      <c r="J2053" s="14"/>
    </row>
    <row r="2054" spans="6:10" ht="12.75">
      <c r="F2054" s="17"/>
      <c r="G2054" s="19"/>
      <c r="H2054" s="23"/>
      <c r="I2054" s="4"/>
      <c r="J2054" s="14"/>
    </row>
    <row r="2055" spans="6:10" ht="12.75">
      <c r="F2055" s="17"/>
      <c r="G2055" s="19"/>
      <c r="H2055" s="23"/>
      <c r="I2055" s="4"/>
      <c r="J2055" s="14"/>
    </row>
    <row r="2056" spans="6:10" ht="12.75">
      <c r="F2056" s="17"/>
      <c r="G2056" s="19"/>
      <c r="H2056" s="23"/>
      <c r="I2056" s="4"/>
      <c r="J2056" s="14"/>
    </row>
    <row r="2057" spans="6:10" ht="12.75">
      <c r="F2057" s="17"/>
      <c r="G2057" s="19"/>
      <c r="H2057" s="23"/>
      <c r="I2057" s="4"/>
      <c r="J2057" s="14"/>
    </row>
    <row r="2058" spans="6:10" ht="12.75">
      <c r="F2058" s="17"/>
      <c r="G2058" s="19"/>
      <c r="H2058" s="23"/>
      <c r="I2058" s="4"/>
      <c r="J2058" s="14"/>
    </row>
    <row r="2059" spans="6:10" ht="12.75">
      <c r="F2059" s="17"/>
      <c r="G2059" s="19"/>
      <c r="H2059" s="23"/>
      <c r="I2059" s="4"/>
      <c r="J2059" s="14"/>
    </row>
    <row r="2060" spans="6:10" ht="12.75">
      <c r="F2060" s="17"/>
      <c r="G2060" s="19"/>
      <c r="H2060" s="23"/>
      <c r="I2060" s="4"/>
      <c r="J2060" s="14"/>
    </row>
    <row r="2061" spans="6:10" ht="12.75">
      <c r="F2061" s="17"/>
      <c r="G2061" s="19"/>
      <c r="H2061" s="23"/>
      <c r="I2061" s="4"/>
      <c r="J2061" s="14"/>
    </row>
    <row r="2062" spans="6:10" ht="12.75">
      <c r="F2062" s="17"/>
      <c r="G2062" s="19"/>
      <c r="H2062" s="23"/>
      <c r="I2062" s="4"/>
      <c r="J2062" s="14"/>
    </row>
    <row r="2063" spans="6:10" ht="12.75">
      <c r="F2063" s="17"/>
      <c r="G2063" s="19"/>
      <c r="H2063" s="23"/>
      <c r="I2063" s="4"/>
      <c r="J2063" s="14"/>
    </row>
    <row r="2064" spans="6:10" ht="12.75">
      <c r="F2064" s="17"/>
      <c r="G2064" s="19"/>
      <c r="H2064" s="23"/>
      <c r="I2064" s="4"/>
      <c r="J2064" s="14"/>
    </row>
    <row r="2065" spans="6:10" ht="12.75">
      <c r="F2065" s="17"/>
      <c r="G2065" s="19"/>
      <c r="H2065" s="23"/>
      <c r="I2065" s="4"/>
      <c r="J2065" s="14"/>
    </row>
    <row r="2066" spans="6:10" ht="12.75">
      <c r="F2066" s="17"/>
      <c r="G2066" s="19"/>
      <c r="H2066" s="23"/>
      <c r="I2066" s="4"/>
      <c r="J2066" s="14"/>
    </row>
    <row r="2067" spans="6:10" ht="12.75">
      <c r="F2067" s="17"/>
      <c r="G2067" s="19"/>
      <c r="H2067" s="23"/>
      <c r="I2067" s="4"/>
      <c r="J2067" s="14"/>
    </row>
    <row r="2068" spans="6:10" ht="12.75">
      <c r="F2068" s="17"/>
      <c r="G2068" s="19"/>
      <c r="H2068" s="23"/>
      <c r="I2068" s="4"/>
      <c r="J2068" s="14"/>
    </row>
    <row r="2069" spans="6:10" ht="12.75">
      <c r="F2069" s="17"/>
      <c r="G2069" s="19"/>
      <c r="H2069" s="23"/>
      <c r="I2069" s="4"/>
      <c r="J2069" s="14"/>
    </row>
    <row r="2070" spans="6:10" ht="12.75">
      <c r="F2070" s="17"/>
      <c r="G2070" s="19"/>
      <c r="H2070" s="23"/>
      <c r="I2070" s="4"/>
      <c r="J2070" s="14"/>
    </row>
    <row r="2071" spans="6:10" ht="12.75">
      <c r="F2071" s="17"/>
      <c r="G2071" s="19"/>
      <c r="H2071" s="23"/>
      <c r="I2071" s="4"/>
      <c r="J2071" s="14"/>
    </row>
    <row r="2072" spans="6:10" ht="12.75">
      <c r="F2072" s="17"/>
      <c r="G2072" s="19"/>
      <c r="H2072" s="23"/>
      <c r="I2072" s="4"/>
      <c r="J2072" s="14"/>
    </row>
    <row r="2073" spans="6:10" ht="12.75">
      <c r="F2073" s="17"/>
      <c r="G2073" s="19"/>
      <c r="H2073" s="23"/>
      <c r="I2073" s="4"/>
      <c r="J2073" s="14"/>
    </row>
    <row r="2074" spans="6:10" ht="12.75">
      <c r="F2074" s="17"/>
      <c r="G2074" s="19"/>
      <c r="H2074" s="23"/>
      <c r="I2074" s="4"/>
      <c r="J2074" s="14"/>
    </row>
    <row r="2075" spans="6:10" ht="12.75">
      <c r="F2075" s="17"/>
      <c r="G2075" s="19"/>
      <c r="H2075" s="23"/>
      <c r="I2075" s="4"/>
      <c r="J2075" s="14"/>
    </row>
    <row r="2076" spans="6:10" ht="12.75">
      <c r="F2076" s="17"/>
      <c r="G2076" s="19"/>
      <c r="H2076" s="23"/>
      <c r="I2076" s="4"/>
      <c r="J2076" s="14"/>
    </row>
    <row r="2077" spans="6:10" ht="12.75">
      <c r="F2077" s="17"/>
      <c r="G2077" s="19"/>
      <c r="H2077" s="23"/>
      <c r="I2077" s="4"/>
      <c r="J2077" s="14"/>
    </row>
    <row r="2078" spans="6:10" ht="12.75">
      <c r="F2078" s="17"/>
      <c r="G2078" s="19"/>
      <c r="H2078" s="23"/>
      <c r="I2078" s="4"/>
      <c r="J2078" s="14"/>
    </row>
    <row r="2079" spans="6:10" ht="12.75">
      <c r="F2079" s="17"/>
      <c r="G2079" s="19"/>
      <c r="H2079" s="23"/>
      <c r="I2079" s="4"/>
      <c r="J2079" s="14"/>
    </row>
    <row r="2080" spans="6:10" ht="12.75">
      <c r="F2080" s="17"/>
      <c r="G2080" s="19"/>
      <c r="H2080" s="23"/>
      <c r="I2080" s="4"/>
      <c r="J2080" s="14"/>
    </row>
    <row r="2081" spans="6:10" ht="12.75">
      <c r="F2081" s="17"/>
      <c r="G2081" s="19"/>
      <c r="H2081" s="23"/>
      <c r="I2081" s="4"/>
      <c r="J2081" s="14"/>
    </row>
    <row r="2082" spans="6:10" ht="12.75">
      <c r="F2082" s="17"/>
      <c r="G2082" s="19"/>
      <c r="H2082" s="23"/>
      <c r="I2082" s="4"/>
      <c r="J2082" s="14"/>
    </row>
    <row r="2083" spans="6:10" ht="12.75">
      <c r="F2083" s="17"/>
      <c r="G2083" s="19"/>
      <c r="H2083" s="23"/>
      <c r="I2083" s="4"/>
      <c r="J2083" s="14"/>
    </row>
    <row r="2084" spans="6:10" ht="12.75">
      <c r="F2084" s="17"/>
      <c r="G2084" s="19"/>
      <c r="H2084" s="23"/>
      <c r="I2084" s="4"/>
      <c r="J2084" s="14"/>
    </row>
    <row r="2085" spans="6:10" ht="12.75">
      <c r="F2085" s="17"/>
      <c r="G2085" s="19"/>
      <c r="H2085" s="23"/>
      <c r="I2085" s="4"/>
      <c r="J2085" s="14"/>
    </row>
    <row r="2086" spans="6:10" ht="12.75">
      <c r="F2086" s="17"/>
      <c r="G2086" s="19"/>
      <c r="H2086" s="23"/>
      <c r="I2086" s="4"/>
      <c r="J2086" s="14"/>
    </row>
    <row r="2087" spans="6:10" ht="12.75">
      <c r="F2087" s="17"/>
      <c r="G2087" s="19"/>
      <c r="H2087" s="23"/>
      <c r="I2087" s="4"/>
      <c r="J2087" s="14"/>
    </row>
    <row r="2088" spans="6:10" ht="12.75">
      <c r="F2088" s="17"/>
      <c r="G2088" s="19"/>
      <c r="H2088" s="23"/>
      <c r="I2088" s="4"/>
      <c r="J2088" s="14"/>
    </row>
    <row r="2089" spans="6:10" ht="12.75">
      <c r="F2089" s="17"/>
      <c r="G2089" s="19"/>
      <c r="H2089" s="23"/>
      <c r="I2089" s="4"/>
      <c r="J2089" s="14"/>
    </row>
    <row r="2090" spans="6:10" ht="12.75">
      <c r="F2090" s="17"/>
      <c r="G2090" s="19"/>
      <c r="H2090" s="23"/>
      <c r="I2090" s="4"/>
      <c r="J2090" s="14"/>
    </row>
    <row r="2091" spans="6:10" ht="12.75">
      <c r="F2091" s="17"/>
      <c r="G2091" s="19"/>
      <c r="H2091" s="23"/>
      <c r="I2091" s="4"/>
      <c r="J2091" s="14"/>
    </row>
    <row r="2092" spans="6:10" ht="12.75">
      <c r="F2092" s="17"/>
      <c r="G2092" s="19"/>
      <c r="H2092" s="23"/>
      <c r="I2092" s="4"/>
      <c r="J2092" s="14"/>
    </row>
    <row r="2093" spans="6:10" ht="12.75">
      <c r="F2093" s="17"/>
      <c r="G2093" s="19"/>
      <c r="H2093" s="23"/>
      <c r="I2093" s="4"/>
      <c r="J2093" s="14"/>
    </row>
    <row r="2094" spans="6:10" ht="12.75">
      <c r="F2094" s="17"/>
      <c r="G2094" s="19"/>
      <c r="H2094" s="23"/>
      <c r="I2094" s="4"/>
      <c r="J2094" s="14"/>
    </row>
    <row r="2095" spans="6:10" ht="12.75">
      <c r="F2095" s="17"/>
      <c r="G2095" s="19"/>
      <c r="H2095" s="23"/>
      <c r="I2095" s="4"/>
      <c r="J2095" s="14"/>
    </row>
    <row r="2096" spans="6:10" ht="12.75">
      <c r="F2096" s="17"/>
      <c r="G2096" s="19"/>
      <c r="H2096" s="23"/>
      <c r="I2096" s="4"/>
      <c r="J2096" s="14"/>
    </row>
    <row r="2097" spans="6:10" ht="12.75">
      <c r="F2097" s="17"/>
      <c r="G2097" s="19"/>
      <c r="H2097" s="23"/>
      <c r="I2097" s="4"/>
      <c r="J2097" s="14"/>
    </row>
    <row r="2098" spans="6:10" ht="12.75">
      <c r="F2098" s="17"/>
      <c r="G2098" s="19"/>
      <c r="H2098" s="23"/>
      <c r="I2098" s="4"/>
      <c r="J2098" s="14"/>
    </row>
    <row r="2099" spans="6:10" ht="12.75">
      <c r="F2099" s="17"/>
      <c r="G2099" s="19"/>
      <c r="H2099" s="23"/>
      <c r="I2099" s="4"/>
      <c r="J2099" s="14"/>
    </row>
    <row r="2100" spans="6:10" ht="12.75">
      <c r="F2100" s="17"/>
      <c r="G2100" s="19"/>
      <c r="H2100" s="23"/>
      <c r="I2100" s="4"/>
      <c r="J2100" s="14"/>
    </row>
    <row r="2101" spans="6:10" ht="12.75">
      <c r="F2101" s="17"/>
      <c r="G2101" s="19"/>
      <c r="H2101" s="23"/>
      <c r="I2101" s="4"/>
      <c r="J2101" s="14"/>
    </row>
    <row r="2102" spans="6:10" ht="12.75">
      <c r="F2102" s="17"/>
      <c r="G2102" s="19"/>
      <c r="H2102" s="23"/>
      <c r="I2102" s="4"/>
      <c r="J2102" s="14"/>
    </row>
    <row r="2103" spans="6:10" ht="12.75">
      <c r="F2103" s="17"/>
      <c r="G2103" s="19"/>
      <c r="H2103" s="23"/>
      <c r="I2103" s="4"/>
      <c r="J2103" s="14"/>
    </row>
    <row r="2104" spans="6:10" ht="12.75">
      <c r="F2104" s="17"/>
      <c r="G2104" s="19"/>
      <c r="H2104" s="23"/>
      <c r="I2104" s="4"/>
      <c r="J2104" s="14"/>
    </row>
    <row r="2105" spans="6:10" ht="12.75">
      <c r="F2105" s="17"/>
      <c r="G2105" s="19"/>
      <c r="H2105" s="23"/>
      <c r="I2105" s="4"/>
      <c r="J2105" s="14"/>
    </row>
    <row r="2106" spans="6:10" ht="12.75">
      <c r="F2106" s="17"/>
      <c r="G2106" s="19"/>
      <c r="H2106" s="23"/>
      <c r="I2106" s="4"/>
      <c r="J2106" s="14"/>
    </row>
    <row r="2107" spans="6:10" ht="12.75">
      <c r="F2107" s="17"/>
      <c r="G2107" s="19"/>
      <c r="H2107" s="23"/>
      <c r="I2107" s="4"/>
      <c r="J2107" s="14"/>
    </row>
    <row r="2108" spans="6:10" ht="12.75">
      <c r="F2108" s="17"/>
      <c r="G2108" s="19"/>
      <c r="H2108" s="23"/>
      <c r="I2108" s="4"/>
      <c r="J2108" s="14"/>
    </row>
    <row r="2109" spans="6:10" ht="12.75">
      <c r="F2109" s="17"/>
      <c r="G2109" s="19"/>
      <c r="H2109" s="23"/>
      <c r="I2109" s="4"/>
      <c r="J2109" s="14"/>
    </row>
    <row r="2110" spans="6:10" ht="12.75">
      <c r="F2110" s="17"/>
      <c r="G2110" s="19"/>
      <c r="H2110" s="23"/>
      <c r="I2110" s="4"/>
      <c r="J2110" s="14"/>
    </row>
    <row r="2111" spans="6:10" ht="12.75">
      <c r="F2111" s="17"/>
      <c r="G2111" s="19"/>
      <c r="H2111" s="23"/>
      <c r="I2111" s="4"/>
      <c r="J2111" s="14"/>
    </row>
    <row r="2112" spans="6:10" ht="12.75">
      <c r="F2112" s="17"/>
      <c r="G2112" s="19"/>
      <c r="H2112" s="23"/>
      <c r="I2112" s="4"/>
      <c r="J2112" s="14"/>
    </row>
    <row r="2113" spans="6:10" ht="12.75">
      <c r="F2113" s="17"/>
      <c r="G2113" s="19"/>
      <c r="H2113" s="23"/>
      <c r="I2113" s="4"/>
      <c r="J2113" s="14"/>
    </row>
    <row r="2114" spans="6:10" ht="12.75">
      <c r="F2114" s="17"/>
      <c r="G2114" s="19"/>
      <c r="H2114" s="23"/>
      <c r="I2114" s="4"/>
      <c r="J2114" s="14"/>
    </row>
    <row r="2115" spans="6:10" ht="12.75">
      <c r="F2115" s="17"/>
      <c r="G2115" s="19"/>
      <c r="H2115" s="23"/>
      <c r="I2115" s="4"/>
      <c r="J2115" s="14"/>
    </row>
    <row r="2116" spans="6:10" ht="12.75">
      <c r="F2116" s="17"/>
      <c r="G2116" s="19"/>
      <c r="H2116" s="23"/>
      <c r="I2116" s="4"/>
      <c r="J2116" s="14"/>
    </row>
    <row r="2117" spans="6:10" ht="12.75">
      <c r="F2117" s="17"/>
      <c r="G2117" s="19"/>
      <c r="H2117" s="23"/>
      <c r="I2117" s="4"/>
      <c r="J2117" s="14"/>
    </row>
    <row r="2118" spans="6:10" ht="12.75">
      <c r="F2118" s="17"/>
      <c r="G2118" s="19"/>
      <c r="H2118" s="23"/>
      <c r="I2118" s="4"/>
      <c r="J2118" s="14"/>
    </row>
    <row r="2119" spans="6:10" ht="12.75">
      <c r="F2119" s="17"/>
      <c r="G2119" s="19"/>
      <c r="H2119" s="23"/>
      <c r="I2119" s="4"/>
      <c r="J2119" s="14"/>
    </row>
    <row r="2120" spans="6:10" ht="12.75">
      <c r="F2120" s="17"/>
      <c r="G2120" s="19"/>
      <c r="H2120" s="23"/>
      <c r="I2120" s="4"/>
      <c r="J2120" s="14"/>
    </row>
    <row r="2121" spans="6:10" ht="12.75">
      <c r="F2121" s="17"/>
      <c r="G2121" s="19"/>
      <c r="H2121" s="23"/>
      <c r="I2121" s="4"/>
      <c r="J2121" s="14"/>
    </row>
    <row r="2122" spans="6:10" ht="12.75">
      <c r="F2122" s="17"/>
      <c r="G2122" s="19"/>
      <c r="H2122" s="23"/>
      <c r="I2122" s="4"/>
      <c r="J2122" s="14"/>
    </row>
    <row r="2123" spans="6:10" ht="12.75">
      <c r="F2123" s="17"/>
      <c r="G2123" s="19"/>
      <c r="H2123" s="23"/>
      <c r="I2123" s="4"/>
      <c r="J2123" s="14"/>
    </row>
    <row r="2124" spans="6:10" ht="12.75">
      <c r="F2124" s="17"/>
      <c r="G2124" s="19"/>
      <c r="H2124" s="23"/>
      <c r="I2124" s="4"/>
      <c r="J2124" s="14"/>
    </row>
    <row r="2125" spans="6:10" ht="12.75">
      <c r="F2125" s="17"/>
      <c r="G2125" s="19"/>
      <c r="H2125" s="23"/>
      <c r="I2125" s="4"/>
      <c r="J2125" s="14"/>
    </row>
    <row r="2126" spans="6:10" ht="12.75">
      <c r="F2126" s="17"/>
      <c r="G2126" s="19"/>
      <c r="H2126" s="23"/>
      <c r="I2126" s="4"/>
      <c r="J2126" s="14"/>
    </row>
    <row r="2127" spans="6:10" ht="12.75">
      <c r="F2127" s="17"/>
      <c r="G2127" s="19"/>
      <c r="H2127" s="23"/>
      <c r="I2127" s="4"/>
      <c r="J2127" s="14"/>
    </row>
    <row r="2128" spans="6:10" ht="12.75">
      <c r="F2128" s="17"/>
      <c r="G2128" s="19"/>
      <c r="H2128" s="23"/>
      <c r="I2128" s="4"/>
      <c r="J2128" s="14"/>
    </row>
    <row r="2129" spans="6:10" ht="12.75">
      <c r="F2129" s="17"/>
      <c r="G2129" s="19"/>
      <c r="H2129" s="23"/>
      <c r="I2129" s="4"/>
      <c r="J2129" s="14"/>
    </row>
    <row r="2130" spans="6:10" ht="12.75">
      <c r="F2130" s="17"/>
      <c r="G2130" s="19"/>
      <c r="H2130" s="23"/>
      <c r="I2130" s="4"/>
      <c r="J2130" s="14"/>
    </row>
    <row r="2131" spans="6:10" ht="12.75">
      <c r="F2131" s="17"/>
      <c r="G2131" s="19"/>
      <c r="H2131" s="23"/>
      <c r="I2131" s="4"/>
      <c r="J2131" s="14"/>
    </row>
    <row r="2132" spans="6:10" ht="12.75">
      <c r="F2132" s="17"/>
      <c r="G2132" s="19"/>
      <c r="H2132" s="23"/>
      <c r="I2132" s="4"/>
      <c r="J2132" s="14"/>
    </row>
    <row r="2133" spans="6:10" ht="12.75">
      <c r="F2133" s="17"/>
      <c r="G2133" s="19"/>
      <c r="H2133" s="23"/>
      <c r="I2133" s="4"/>
      <c r="J2133" s="14"/>
    </row>
    <row r="2134" spans="6:10" ht="12.75">
      <c r="F2134" s="17"/>
      <c r="G2134" s="19"/>
      <c r="H2134" s="23"/>
      <c r="I2134" s="4"/>
      <c r="J2134" s="14"/>
    </row>
    <row r="2135" spans="6:10" ht="12.75">
      <c r="F2135" s="17"/>
      <c r="G2135" s="19"/>
      <c r="H2135" s="23"/>
      <c r="I2135" s="4"/>
      <c r="J2135" s="14"/>
    </row>
    <row r="2136" spans="6:10" ht="12.75">
      <c r="F2136" s="17"/>
      <c r="G2136" s="19"/>
      <c r="H2136" s="23"/>
      <c r="I2136" s="4"/>
      <c r="J2136" s="14"/>
    </row>
    <row r="2137" spans="6:10" ht="12.75">
      <c r="F2137" s="17"/>
      <c r="G2137" s="19"/>
      <c r="H2137" s="23"/>
      <c r="I2137" s="4"/>
      <c r="J2137" s="14"/>
    </row>
    <row r="2138" spans="6:10" ht="12.75">
      <c r="F2138" s="17"/>
      <c r="G2138" s="19"/>
      <c r="H2138" s="23"/>
      <c r="I2138" s="4"/>
      <c r="J2138" s="14"/>
    </row>
    <row r="2139" spans="6:10" ht="12.75">
      <c r="F2139" s="17"/>
      <c r="G2139" s="19"/>
      <c r="H2139" s="23"/>
      <c r="I2139" s="4"/>
      <c r="J2139" s="14"/>
    </row>
    <row r="2140" spans="6:10" ht="12.75">
      <c r="F2140" s="17"/>
      <c r="G2140" s="19"/>
      <c r="H2140" s="23"/>
      <c r="I2140" s="4"/>
      <c r="J2140" s="14"/>
    </row>
    <row r="2141" spans="6:10" ht="12.75">
      <c r="F2141" s="17"/>
      <c r="G2141" s="19"/>
      <c r="H2141" s="23"/>
      <c r="I2141" s="4"/>
      <c r="J2141" s="14"/>
    </row>
    <row r="2142" spans="6:10" ht="12.75">
      <c r="F2142" s="17"/>
      <c r="G2142" s="19"/>
      <c r="H2142" s="23"/>
      <c r="I2142" s="4"/>
      <c r="J2142" s="14"/>
    </row>
    <row r="2143" spans="6:10" ht="12.75">
      <c r="F2143" s="17"/>
      <c r="G2143" s="19"/>
      <c r="H2143" s="23"/>
      <c r="I2143" s="4"/>
      <c r="J2143" s="14"/>
    </row>
    <row r="2144" spans="6:10" ht="12.75">
      <c r="F2144" s="17"/>
      <c r="G2144" s="19"/>
      <c r="H2144" s="23"/>
      <c r="I2144" s="4"/>
      <c r="J2144" s="14"/>
    </row>
    <row r="2145" spans="6:10" ht="12.75">
      <c r="F2145" s="17"/>
      <c r="G2145" s="19"/>
      <c r="H2145" s="23"/>
      <c r="I2145" s="4"/>
      <c r="J2145" s="14"/>
    </row>
    <row r="2146" spans="6:10" ht="12.75">
      <c r="F2146" s="17"/>
      <c r="G2146" s="19"/>
      <c r="H2146" s="23"/>
      <c r="I2146" s="4"/>
      <c r="J2146" s="14"/>
    </row>
    <row r="2147" spans="6:10" ht="12.75">
      <c r="F2147" s="17"/>
      <c r="G2147" s="19"/>
      <c r="H2147" s="23"/>
      <c r="I2147" s="4"/>
      <c r="J2147" s="14"/>
    </row>
    <row r="2148" spans="6:10" ht="12.75">
      <c r="F2148" s="17"/>
      <c r="G2148" s="19"/>
      <c r="H2148" s="23"/>
      <c r="I2148" s="4"/>
      <c r="J2148" s="14"/>
    </row>
    <row r="2149" spans="6:10" ht="12.75">
      <c r="F2149" s="17"/>
      <c r="G2149" s="19"/>
      <c r="H2149" s="23"/>
      <c r="I2149" s="4"/>
      <c r="J2149" s="14"/>
    </row>
    <row r="2150" spans="6:10" ht="12.75">
      <c r="F2150" s="17"/>
      <c r="G2150" s="19"/>
      <c r="H2150" s="23"/>
      <c r="I2150" s="4"/>
      <c r="J2150" s="14"/>
    </row>
    <row r="2151" spans="6:10" ht="12.75">
      <c r="F2151" s="17"/>
      <c r="G2151" s="19"/>
      <c r="H2151" s="23"/>
      <c r="I2151" s="4"/>
      <c r="J2151" s="14"/>
    </row>
    <row r="2152" spans="6:10" ht="12.75">
      <c r="F2152" s="17"/>
      <c r="G2152" s="19"/>
      <c r="H2152" s="23"/>
      <c r="I2152" s="4"/>
      <c r="J2152" s="14"/>
    </row>
    <row r="2153" spans="6:10" ht="12.75">
      <c r="F2153" s="17"/>
      <c r="G2153" s="19"/>
      <c r="H2153" s="23"/>
      <c r="I2153" s="4"/>
      <c r="J2153" s="14"/>
    </row>
    <row r="2154" spans="6:10" ht="12.75">
      <c r="F2154" s="17"/>
      <c r="G2154" s="19"/>
      <c r="H2154" s="23"/>
      <c r="I2154" s="4"/>
      <c r="J2154" s="14"/>
    </row>
    <row r="2155" spans="6:10" ht="12.75">
      <c r="F2155" s="17"/>
      <c r="G2155" s="19"/>
      <c r="H2155" s="23"/>
      <c r="I2155" s="4"/>
      <c r="J2155" s="14"/>
    </row>
    <row r="2156" spans="6:10" ht="12.75">
      <c r="F2156" s="17"/>
      <c r="G2156" s="19"/>
      <c r="H2156" s="23"/>
      <c r="I2156" s="4"/>
      <c r="J2156" s="14"/>
    </row>
    <row r="2157" spans="6:10" ht="12.75">
      <c r="F2157" s="17"/>
      <c r="G2157" s="19"/>
      <c r="H2157" s="23"/>
      <c r="I2157" s="4"/>
      <c r="J2157" s="14"/>
    </row>
    <row r="2158" spans="6:10" ht="12.75">
      <c r="F2158" s="17"/>
      <c r="G2158" s="19"/>
      <c r="H2158" s="23"/>
      <c r="I2158" s="4"/>
      <c r="J2158" s="14"/>
    </row>
    <row r="2159" spans="6:10" ht="12.75">
      <c r="F2159" s="17"/>
      <c r="G2159" s="19"/>
      <c r="H2159" s="23"/>
      <c r="I2159" s="4"/>
      <c r="J2159" s="14"/>
    </row>
    <row r="2160" spans="6:10" ht="12.75">
      <c r="F2160" s="17"/>
      <c r="G2160" s="19"/>
      <c r="H2160" s="23"/>
      <c r="I2160" s="4"/>
      <c r="J2160" s="14"/>
    </row>
    <row r="2161" spans="6:10" ht="12.75">
      <c r="F2161" s="17"/>
      <c r="G2161" s="19"/>
      <c r="H2161" s="23"/>
      <c r="I2161" s="4"/>
      <c r="J2161" s="14"/>
    </row>
    <row r="2162" spans="6:10" ht="12.75">
      <c r="F2162" s="17"/>
      <c r="G2162" s="19"/>
      <c r="H2162" s="23"/>
      <c r="I2162" s="4"/>
      <c r="J2162" s="14"/>
    </row>
    <row r="2163" spans="6:10" ht="12.75">
      <c r="F2163" s="17"/>
      <c r="G2163" s="19"/>
      <c r="H2163" s="23"/>
      <c r="I2163" s="4"/>
      <c r="J2163" s="14"/>
    </row>
    <row r="2164" spans="6:10" ht="12.75">
      <c r="F2164" s="17"/>
      <c r="G2164" s="19"/>
      <c r="H2164" s="23"/>
      <c r="I2164" s="4"/>
      <c r="J2164" s="14"/>
    </row>
    <row r="2165" spans="6:10" ht="12.75">
      <c r="F2165" s="17"/>
      <c r="G2165" s="19"/>
      <c r="H2165" s="23"/>
      <c r="I2165" s="4"/>
      <c r="J2165" s="14"/>
    </row>
    <row r="2166" spans="6:10" ht="12.75">
      <c r="F2166" s="17"/>
      <c r="G2166" s="19"/>
      <c r="H2166" s="23"/>
      <c r="I2166" s="4"/>
      <c r="J2166" s="14"/>
    </row>
    <row r="2167" spans="6:10" ht="12.75">
      <c r="F2167" s="17"/>
      <c r="G2167" s="19"/>
      <c r="H2167" s="23"/>
      <c r="I2167" s="4"/>
      <c r="J2167" s="14"/>
    </row>
    <row r="2168" spans="6:10" ht="12.75">
      <c r="F2168" s="17"/>
      <c r="G2168" s="19"/>
      <c r="H2168" s="23"/>
      <c r="I2168" s="4"/>
      <c r="J2168" s="14"/>
    </row>
    <row r="2169" spans="6:10" ht="12.75">
      <c r="F2169" s="17"/>
      <c r="G2169" s="19"/>
      <c r="H2169" s="23"/>
      <c r="I2169" s="4"/>
      <c r="J2169" s="14"/>
    </row>
    <row r="2170" spans="6:10" ht="12.75">
      <c r="F2170" s="17"/>
      <c r="G2170" s="19"/>
      <c r="H2170" s="23"/>
      <c r="I2170" s="4"/>
      <c r="J2170" s="14"/>
    </row>
    <row r="2171" spans="6:10" ht="12.75">
      <c r="F2171" s="17"/>
      <c r="G2171" s="19"/>
      <c r="H2171" s="23"/>
      <c r="I2171" s="4"/>
      <c r="J2171" s="14"/>
    </row>
    <row r="2172" spans="6:10" ht="12.75">
      <c r="F2172" s="17"/>
      <c r="G2172" s="19"/>
      <c r="H2172" s="23"/>
      <c r="I2172" s="4"/>
      <c r="J2172" s="14"/>
    </row>
    <row r="2173" spans="6:10" ht="12.75">
      <c r="F2173" s="17"/>
      <c r="G2173" s="19"/>
      <c r="H2173" s="23"/>
      <c r="I2173" s="4"/>
      <c r="J2173" s="14"/>
    </row>
    <row r="2174" spans="6:10" ht="12.75">
      <c r="F2174" s="17"/>
      <c r="G2174" s="19"/>
      <c r="H2174" s="23"/>
      <c r="I2174" s="4"/>
      <c r="J2174" s="14"/>
    </row>
    <row r="2175" spans="6:10" ht="12.75">
      <c r="F2175" s="17"/>
      <c r="G2175" s="19"/>
      <c r="H2175" s="23"/>
      <c r="I2175" s="4"/>
      <c r="J2175" s="14"/>
    </row>
    <row r="2176" spans="6:10" ht="12.75">
      <c r="F2176" s="17"/>
      <c r="G2176" s="19"/>
      <c r="H2176" s="23"/>
      <c r="I2176" s="4"/>
      <c r="J2176" s="14"/>
    </row>
    <row r="2177" spans="6:10" ht="12.75">
      <c r="F2177" s="17"/>
      <c r="G2177" s="19"/>
      <c r="H2177" s="23"/>
      <c r="I2177" s="4"/>
      <c r="J2177" s="14"/>
    </row>
    <row r="2178" spans="6:10" ht="12.75">
      <c r="F2178" s="17"/>
      <c r="G2178" s="19"/>
      <c r="H2178" s="23"/>
      <c r="I2178" s="4"/>
      <c r="J2178" s="14"/>
    </row>
    <row r="2179" spans="6:10" ht="12.75">
      <c r="F2179" s="17"/>
      <c r="G2179" s="19"/>
      <c r="H2179" s="23"/>
      <c r="I2179" s="4"/>
      <c r="J2179" s="14"/>
    </row>
    <row r="2180" spans="6:10" ht="12.75">
      <c r="F2180" s="17"/>
      <c r="G2180" s="19"/>
      <c r="H2180" s="23"/>
      <c r="I2180" s="4"/>
      <c r="J2180" s="14"/>
    </row>
    <row r="2181" spans="6:10" ht="12.75">
      <c r="F2181" s="17"/>
      <c r="G2181" s="19"/>
      <c r="H2181" s="23"/>
      <c r="I2181" s="4"/>
      <c r="J2181" s="14"/>
    </row>
    <row r="2182" spans="6:10" ht="12.75">
      <c r="F2182" s="17"/>
      <c r="G2182" s="19"/>
      <c r="H2182" s="23"/>
      <c r="I2182" s="4"/>
      <c r="J2182" s="14"/>
    </row>
    <row r="2183" spans="6:10" ht="12.75">
      <c r="F2183" s="17"/>
      <c r="G2183" s="19"/>
      <c r="H2183" s="23"/>
      <c r="I2183" s="4"/>
      <c r="J2183" s="14"/>
    </row>
    <row r="2184" spans="6:10" ht="12.75">
      <c r="F2184" s="17"/>
      <c r="G2184" s="19"/>
      <c r="H2184" s="23"/>
      <c r="I2184" s="4"/>
      <c r="J2184" s="14"/>
    </row>
    <row r="2185" spans="6:10" ht="12.75">
      <c r="F2185" s="17"/>
      <c r="G2185" s="19"/>
      <c r="H2185" s="23"/>
      <c r="I2185" s="4"/>
      <c r="J2185" s="14"/>
    </row>
    <row r="2186" spans="6:10" ht="12.75">
      <c r="F2186" s="17"/>
      <c r="G2186" s="19"/>
      <c r="H2186" s="23"/>
      <c r="I2186" s="4"/>
      <c r="J2186" s="14"/>
    </row>
    <row r="2187" spans="6:10" ht="12.75">
      <c r="F2187" s="17"/>
      <c r="G2187" s="19"/>
      <c r="H2187" s="23"/>
      <c r="I2187" s="4"/>
      <c r="J2187" s="14"/>
    </row>
    <row r="2188" spans="6:10" ht="12.75">
      <c r="F2188" s="17"/>
      <c r="G2188" s="19"/>
      <c r="H2188" s="23"/>
      <c r="I2188" s="4"/>
      <c r="J2188" s="14"/>
    </row>
    <row r="2189" spans="6:10" ht="12.75">
      <c r="F2189" s="17"/>
      <c r="G2189" s="19"/>
      <c r="H2189" s="23"/>
      <c r="I2189" s="4"/>
      <c r="J2189" s="14"/>
    </row>
    <row r="2190" spans="6:10" ht="12.75">
      <c r="F2190" s="17"/>
      <c r="G2190" s="19"/>
      <c r="H2190" s="23"/>
      <c r="I2190" s="4"/>
      <c r="J2190" s="14"/>
    </row>
    <row r="2191" spans="6:10" ht="12.75">
      <c r="F2191" s="17"/>
      <c r="G2191" s="19"/>
      <c r="H2191" s="23"/>
      <c r="I2191" s="4"/>
      <c r="J2191" s="14"/>
    </row>
    <row r="2192" spans="6:10" ht="12.75">
      <c r="F2192" s="17"/>
      <c r="G2192" s="19"/>
      <c r="H2192" s="23"/>
      <c r="I2192" s="4"/>
      <c r="J2192" s="14"/>
    </row>
    <row r="2193" spans="6:10" ht="12.75">
      <c r="F2193" s="17"/>
      <c r="G2193" s="19"/>
      <c r="H2193" s="23"/>
      <c r="I2193" s="4"/>
      <c r="J2193" s="14"/>
    </row>
    <row r="2194" spans="6:10" ht="12.75">
      <c r="F2194" s="17"/>
      <c r="G2194" s="19"/>
      <c r="H2194" s="23"/>
      <c r="I2194" s="4"/>
      <c r="J2194" s="14"/>
    </row>
    <row r="2195" spans="6:10" ht="12.75">
      <c r="F2195" s="17"/>
      <c r="G2195" s="19"/>
      <c r="H2195" s="23"/>
      <c r="I2195" s="4"/>
      <c r="J2195" s="14"/>
    </row>
    <row r="2196" spans="6:10" ht="12.75">
      <c r="F2196" s="17"/>
      <c r="G2196" s="19"/>
      <c r="H2196" s="23"/>
      <c r="I2196" s="4"/>
      <c r="J2196" s="14"/>
    </row>
    <row r="2197" spans="6:10" ht="12.75">
      <c r="F2197" s="17"/>
      <c r="G2197" s="19"/>
      <c r="H2197" s="23"/>
      <c r="I2197" s="4"/>
      <c r="J2197" s="14"/>
    </row>
    <row r="2198" spans="6:10" ht="12.75">
      <c r="F2198" s="17"/>
      <c r="G2198" s="19"/>
      <c r="H2198" s="23"/>
      <c r="I2198" s="4"/>
      <c r="J2198" s="14"/>
    </row>
    <row r="2199" spans="6:10" ht="12.75">
      <c r="F2199" s="17"/>
      <c r="G2199" s="19"/>
      <c r="H2199" s="23"/>
      <c r="I2199" s="4"/>
      <c r="J2199" s="14"/>
    </row>
    <row r="2200" spans="6:10" ht="12.75">
      <c r="F2200" s="17"/>
      <c r="G2200" s="19"/>
      <c r="H2200" s="23"/>
      <c r="I2200" s="4"/>
      <c r="J2200" s="14"/>
    </row>
    <row r="2201" spans="6:10" ht="12.75">
      <c r="F2201" s="17"/>
      <c r="G2201" s="19"/>
      <c r="H2201" s="23"/>
      <c r="I2201" s="4"/>
      <c r="J2201" s="14"/>
    </row>
    <row r="2202" spans="6:10" ht="12.75">
      <c r="F2202" s="17"/>
      <c r="G2202" s="19"/>
      <c r="H2202" s="23"/>
      <c r="I2202" s="4"/>
      <c r="J2202" s="14"/>
    </row>
    <row r="2203" spans="6:10" ht="12.75">
      <c r="F2203" s="17"/>
      <c r="G2203" s="19"/>
      <c r="H2203" s="23"/>
      <c r="I2203" s="4"/>
      <c r="J2203" s="14"/>
    </row>
    <row r="2204" spans="6:10" ht="12.75">
      <c r="F2204" s="17"/>
      <c r="G2204" s="19"/>
      <c r="H2204" s="23"/>
      <c r="I2204" s="4"/>
      <c r="J2204" s="14"/>
    </row>
    <row r="2205" spans="6:10" ht="12.75">
      <c r="F2205" s="17"/>
      <c r="G2205" s="19"/>
      <c r="H2205" s="23"/>
      <c r="I2205" s="4"/>
      <c r="J2205" s="14"/>
    </row>
    <row r="2206" spans="6:10" ht="12.75">
      <c r="F2206" s="17"/>
      <c r="G2206" s="19"/>
      <c r="H2206" s="23"/>
      <c r="I2206" s="4"/>
      <c r="J2206" s="14"/>
    </row>
    <row r="2207" spans="6:10" ht="12.75">
      <c r="F2207" s="17"/>
      <c r="G2207" s="19"/>
      <c r="H2207" s="23"/>
      <c r="I2207" s="4"/>
      <c r="J2207" s="14"/>
    </row>
    <row r="2208" spans="6:10" ht="12.75">
      <c r="F2208" s="17"/>
      <c r="G2208" s="19"/>
      <c r="H2208" s="23"/>
      <c r="I2208" s="4"/>
      <c r="J2208" s="14"/>
    </row>
    <row r="2209" spans="6:10" ht="12.75">
      <c r="F2209" s="17"/>
      <c r="G2209" s="19"/>
      <c r="H2209" s="23"/>
      <c r="I2209" s="4"/>
      <c r="J2209" s="14"/>
    </row>
    <row r="2210" spans="6:10" ht="12.75">
      <c r="F2210" s="17"/>
      <c r="G2210" s="19"/>
      <c r="H2210" s="23"/>
      <c r="I2210" s="4"/>
      <c r="J2210" s="14"/>
    </row>
    <row r="2211" spans="6:10" ht="12.75">
      <c r="F2211" s="17"/>
      <c r="G2211" s="19"/>
      <c r="H2211" s="23"/>
      <c r="I2211" s="4"/>
      <c r="J2211" s="14"/>
    </row>
    <row r="2212" spans="6:10" ht="12.75">
      <c r="F2212" s="17"/>
      <c r="G2212" s="19"/>
      <c r="H2212" s="23"/>
      <c r="I2212" s="4"/>
      <c r="J2212" s="14"/>
    </row>
    <row r="2213" spans="6:10" ht="12.75">
      <c r="F2213" s="17"/>
      <c r="G2213" s="19"/>
      <c r="H2213" s="23"/>
      <c r="I2213" s="4"/>
      <c r="J2213" s="14"/>
    </row>
    <row r="2214" spans="6:10" ht="12.75">
      <c r="F2214" s="17"/>
      <c r="G2214" s="19"/>
      <c r="H2214" s="23"/>
      <c r="I2214" s="4"/>
      <c r="J2214" s="14"/>
    </row>
    <row r="2215" spans="6:10" ht="12.75">
      <c r="F2215" s="17"/>
      <c r="G2215" s="19"/>
      <c r="H2215" s="23"/>
      <c r="I2215" s="4"/>
      <c r="J2215" s="14"/>
    </row>
    <row r="2216" spans="6:10" ht="12.75">
      <c r="F2216" s="17"/>
      <c r="G2216" s="19"/>
      <c r="H2216" s="23"/>
      <c r="I2216" s="4"/>
      <c r="J2216" s="14"/>
    </row>
    <row r="2217" spans="6:10" ht="12.75">
      <c r="F2217" s="17"/>
      <c r="G2217" s="19"/>
      <c r="H2217" s="23"/>
      <c r="I2217" s="4"/>
      <c r="J2217" s="14"/>
    </row>
    <row r="2218" spans="6:10" ht="12.75">
      <c r="F2218" s="17"/>
      <c r="G2218" s="19"/>
      <c r="H2218" s="23"/>
      <c r="I2218" s="4"/>
      <c r="J2218" s="14"/>
    </row>
    <row r="2219" spans="6:10" ht="12.75">
      <c r="F2219" s="17"/>
      <c r="G2219" s="19"/>
      <c r="H2219" s="23"/>
      <c r="I2219" s="4"/>
      <c r="J2219" s="14"/>
    </row>
    <row r="2220" spans="6:10" ht="12.75">
      <c r="F2220" s="17"/>
      <c r="G2220" s="19"/>
      <c r="H2220" s="23"/>
      <c r="I2220" s="4"/>
      <c r="J2220" s="14"/>
    </row>
    <row r="2221" spans="6:10" ht="12.75">
      <c r="F2221" s="17"/>
      <c r="G2221" s="19"/>
      <c r="H2221" s="23"/>
      <c r="I2221" s="4"/>
      <c r="J2221" s="14"/>
    </row>
    <row r="2222" spans="6:10" ht="12.75">
      <c r="F2222" s="17"/>
      <c r="G2222" s="19"/>
      <c r="H2222" s="23"/>
      <c r="I2222" s="4"/>
      <c r="J2222" s="14"/>
    </row>
    <row r="2223" spans="6:10" ht="12.75">
      <c r="F2223" s="17"/>
      <c r="G2223" s="19"/>
      <c r="H2223" s="23"/>
      <c r="I2223" s="4"/>
      <c r="J2223" s="14"/>
    </row>
    <row r="2224" spans="6:10" ht="12.75">
      <c r="F2224" s="17"/>
      <c r="G2224" s="19"/>
      <c r="H2224" s="23"/>
      <c r="I2224" s="4"/>
      <c r="J2224" s="14"/>
    </row>
    <row r="2225" spans="6:10" ht="12.75">
      <c r="F2225" s="17"/>
      <c r="G2225" s="19"/>
      <c r="H2225" s="23"/>
      <c r="I2225" s="4"/>
      <c r="J2225" s="14"/>
    </row>
    <row r="2226" spans="6:10" ht="12.75">
      <c r="F2226" s="17"/>
      <c r="G2226" s="19"/>
      <c r="H2226" s="23"/>
      <c r="I2226" s="4"/>
      <c r="J2226" s="14"/>
    </row>
    <row r="2227" spans="6:10" ht="12.75">
      <c r="F2227" s="17"/>
      <c r="G2227" s="19"/>
      <c r="H2227" s="23"/>
      <c r="I2227" s="4"/>
      <c r="J2227" s="14"/>
    </row>
    <row r="2228" spans="6:10" ht="12.75">
      <c r="F2228" s="17"/>
      <c r="G2228" s="19"/>
      <c r="H2228" s="23"/>
      <c r="I2228" s="4"/>
      <c r="J2228" s="14"/>
    </row>
    <row r="2229" spans="6:10" ht="12.75">
      <c r="F2229" s="17"/>
      <c r="G2229" s="19"/>
      <c r="H2229" s="23"/>
      <c r="I2229" s="4"/>
      <c r="J2229" s="14"/>
    </row>
    <row r="2230" spans="6:10" ht="12.75">
      <c r="F2230" s="17"/>
      <c r="G2230" s="19"/>
      <c r="H2230" s="23"/>
      <c r="I2230" s="4"/>
      <c r="J2230" s="14"/>
    </row>
    <row r="2231" spans="6:10" ht="12.75">
      <c r="F2231" s="17"/>
      <c r="G2231" s="19"/>
      <c r="H2231" s="23"/>
      <c r="I2231" s="4"/>
      <c r="J2231" s="14"/>
    </row>
    <row r="2232" spans="6:10" ht="12.75">
      <c r="F2232" s="17"/>
      <c r="G2232" s="19"/>
      <c r="H2232" s="23"/>
      <c r="I2232" s="4"/>
      <c r="J2232" s="14"/>
    </row>
    <row r="2233" spans="6:10" ht="12.75">
      <c r="F2233" s="17"/>
      <c r="G2233" s="19"/>
      <c r="H2233" s="23"/>
      <c r="I2233" s="4"/>
      <c r="J2233" s="14"/>
    </row>
    <row r="2234" spans="6:10" ht="12.75">
      <c r="F2234" s="17"/>
      <c r="G2234" s="19"/>
      <c r="H2234" s="23"/>
      <c r="I2234" s="4"/>
      <c r="J2234" s="14"/>
    </row>
    <row r="2235" spans="6:10" ht="12.75">
      <c r="F2235" s="17"/>
      <c r="G2235" s="19"/>
      <c r="H2235" s="23"/>
      <c r="I2235" s="4"/>
      <c r="J2235" s="14"/>
    </row>
    <row r="2236" spans="6:10" ht="12.75">
      <c r="F2236" s="17"/>
      <c r="G2236" s="19"/>
      <c r="H2236" s="23"/>
      <c r="I2236" s="4"/>
      <c r="J2236" s="14"/>
    </row>
    <row r="2237" spans="6:10" ht="12.75">
      <c r="F2237" s="17"/>
      <c r="G2237" s="19"/>
      <c r="H2237" s="23"/>
      <c r="I2237" s="4"/>
      <c r="J2237" s="14"/>
    </row>
    <row r="2238" spans="6:10" ht="12.75">
      <c r="F2238" s="17"/>
      <c r="G2238" s="19"/>
      <c r="H2238" s="23"/>
      <c r="I2238" s="4"/>
      <c r="J2238" s="14"/>
    </row>
    <row r="2239" spans="6:10" ht="12.75">
      <c r="F2239" s="17"/>
      <c r="G2239" s="19"/>
      <c r="H2239" s="23"/>
      <c r="I2239" s="4"/>
      <c r="J2239" s="14"/>
    </row>
    <row r="2240" spans="6:10" ht="12.75">
      <c r="F2240" s="17"/>
      <c r="G2240" s="19"/>
      <c r="H2240" s="23"/>
      <c r="I2240" s="4"/>
      <c r="J2240" s="14"/>
    </row>
    <row r="2241" spans="6:10" ht="12.75">
      <c r="F2241" s="17"/>
      <c r="G2241" s="19"/>
      <c r="H2241" s="23"/>
      <c r="I2241" s="4"/>
      <c r="J2241" s="14"/>
    </row>
    <row r="2242" spans="6:10" ht="12.75">
      <c r="F2242" s="17"/>
      <c r="G2242" s="19"/>
      <c r="H2242" s="23"/>
      <c r="I2242" s="4"/>
      <c r="J2242" s="14"/>
    </row>
    <row r="2243" spans="6:10" ht="12.75">
      <c r="F2243" s="17"/>
      <c r="G2243" s="19"/>
      <c r="H2243" s="23"/>
      <c r="I2243" s="4"/>
      <c r="J2243" s="14"/>
    </row>
    <row r="2244" spans="6:10" ht="12.75">
      <c r="F2244" s="17"/>
      <c r="G2244" s="19"/>
      <c r="H2244" s="23"/>
      <c r="I2244" s="4"/>
      <c r="J2244" s="14"/>
    </row>
    <row r="2245" spans="6:10" ht="12.75">
      <c r="F2245" s="17"/>
      <c r="G2245" s="19"/>
      <c r="H2245" s="23"/>
      <c r="I2245" s="4"/>
      <c r="J2245" s="14"/>
    </row>
    <row r="2246" spans="6:10" ht="12.75">
      <c r="F2246" s="17"/>
      <c r="G2246" s="19"/>
      <c r="H2246" s="23"/>
      <c r="I2246" s="4"/>
      <c r="J2246" s="14"/>
    </row>
    <row r="2247" spans="6:10" ht="12.75">
      <c r="F2247" s="17"/>
      <c r="G2247" s="19"/>
      <c r="H2247" s="23"/>
      <c r="I2247" s="4"/>
      <c r="J2247" s="14"/>
    </row>
    <row r="2248" spans="6:10" ht="12.75">
      <c r="F2248" s="17"/>
      <c r="G2248" s="19"/>
      <c r="H2248" s="23"/>
      <c r="I2248" s="4"/>
      <c r="J2248" s="14"/>
    </row>
    <row r="2249" spans="6:10" ht="12.75">
      <c r="F2249" s="17"/>
      <c r="G2249" s="19"/>
      <c r="H2249" s="23"/>
      <c r="I2249" s="4"/>
      <c r="J2249" s="14"/>
    </row>
    <row r="2250" spans="6:10" ht="12.75">
      <c r="F2250" s="17"/>
      <c r="G2250" s="19"/>
      <c r="H2250" s="23"/>
      <c r="I2250" s="4"/>
      <c r="J2250" s="14"/>
    </row>
    <row r="2251" spans="6:10" ht="12.75">
      <c r="F2251" s="17"/>
      <c r="G2251" s="19"/>
      <c r="H2251" s="23"/>
      <c r="I2251" s="4"/>
      <c r="J2251" s="14"/>
    </row>
    <row r="2252" spans="6:10" ht="12.75">
      <c r="F2252" s="17"/>
      <c r="G2252" s="19"/>
      <c r="H2252" s="23"/>
      <c r="I2252" s="4"/>
      <c r="J2252" s="14"/>
    </row>
    <row r="2253" spans="6:10" ht="12.75">
      <c r="F2253" s="17"/>
      <c r="G2253" s="19"/>
      <c r="H2253" s="23"/>
      <c r="I2253" s="4"/>
      <c r="J2253" s="14"/>
    </row>
    <row r="2254" spans="6:10" ht="12.75">
      <c r="F2254" s="17"/>
      <c r="G2254" s="19"/>
      <c r="H2254" s="23"/>
      <c r="I2254" s="4"/>
      <c r="J2254" s="14"/>
    </row>
    <row r="2255" spans="6:10" ht="12.75">
      <c r="F2255" s="17"/>
      <c r="G2255" s="19"/>
      <c r="H2255" s="23"/>
      <c r="I2255" s="4"/>
      <c r="J2255" s="14"/>
    </row>
    <row r="2256" spans="6:10" ht="12.75">
      <c r="F2256" s="17"/>
      <c r="G2256" s="19"/>
      <c r="H2256" s="23"/>
      <c r="I2256" s="4"/>
      <c r="J2256" s="14"/>
    </row>
    <row r="2257" spans="6:10" ht="12.75">
      <c r="F2257" s="17"/>
      <c r="G2257" s="19"/>
      <c r="H2257" s="23"/>
      <c r="I2257" s="4"/>
      <c r="J2257" s="14"/>
    </row>
    <row r="2258" spans="6:10" ht="12.75">
      <c r="F2258" s="17"/>
      <c r="G2258" s="19"/>
      <c r="H2258" s="23"/>
      <c r="I2258" s="4"/>
      <c r="J2258" s="14"/>
    </row>
    <row r="2259" spans="6:10" ht="12.75">
      <c r="F2259" s="17"/>
      <c r="G2259" s="19"/>
      <c r="H2259" s="23"/>
      <c r="I2259" s="4"/>
      <c r="J2259" s="14"/>
    </row>
    <row r="2260" spans="6:10" ht="12.75">
      <c r="F2260" s="17"/>
      <c r="G2260" s="19"/>
      <c r="H2260" s="23"/>
      <c r="I2260" s="4"/>
      <c r="J2260" s="14"/>
    </row>
    <row r="2261" spans="6:10" ht="12.75">
      <c r="F2261" s="17"/>
      <c r="G2261" s="19"/>
      <c r="H2261" s="23"/>
      <c r="I2261" s="4"/>
      <c r="J2261" s="14"/>
    </row>
    <row r="2262" spans="6:10" ht="12.75">
      <c r="F2262" s="17"/>
      <c r="G2262" s="19"/>
      <c r="H2262" s="23"/>
      <c r="I2262" s="4"/>
      <c r="J2262" s="14"/>
    </row>
    <row r="2263" spans="6:10" ht="12.75">
      <c r="F2263" s="17"/>
      <c r="G2263" s="19"/>
      <c r="H2263" s="23"/>
      <c r="I2263" s="4"/>
      <c r="J2263" s="14"/>
    </row>
    <row r="2264" spans="6:10" ht="12.75">
      <c r="F2264" s="17"/>
      <c r="G2264" s="19"/>
      <c r="H2264" s="23"/>
      <c r="I2264" s="4"/>
      <c r="J2264" s="14"/>
    </row>
    <row r="2265" spans="6:10" ht="12.75">
      <c r="F2265" s="17"/>
      <c r="G2265" s="19"/>
      <c r="H2265" s="23"/>
      <c r="I2265" s="4"/>
      <c r="J2265" s="14"/>
    </row>
    <row r="2266" spans="6:10" ht="12.75">
      <c r="F2266" s="17"/>
      <c r="G2266" s="19"/>
      <c r="H2266" s="23"/>
      <c r="I2266" s="4"/>
      <c r="J2266" s="14"/>
    </row>
    <row r="2267" spans="6:10" ht="12.75">
      <c r="F2267" s="17"/>
      <c r="G2267" s="19"/>
      <c r="H2267" s="23"/>
      <c r="I2267" s="4"/>
      <c r="J2267" s="14"/>
    </row>
    <row r="2268" spans="6:10" ht="12.75">
      <c r="F2268" s="17"/>
      <c r="G2268" s="19"/>
      <c r="H2268" s="23"/>
      <c r="I2268" s="4"/>
      <c r="J2268" s="14"/>
    </row>
    <row r="2269" spans="6:10" ht="12.75">
      <c r="F2269" s="17"/>
      <c r="G2269" s="19"/>
      <c r="H2269" s="23"/>
      <c r="I2269" s="4"/>
      <c r="J2269" s="14"/>
    </row>
    <row r="2270" spans="6:10" ht="12.75">
      <c r="F2270" s="17"/>
      <c r="G2270" s="19"/>
      <c r="H2270" s="23"/>
      <c r="I2270" s="4"/>
      <c r="J2270" s="14"/>
    </row>
    <row r="2271" spans="6:10" ht="12.75">
      <c r="F2271" s="17"/>
      <c r="G2271" s="19"/>
      <c r="H2271" s="23"/>
      <c r="I2271" s="4"/>
      <c r="J2271" s="14"/>
    </row>
    <row r="2272" spans="6:10" ht="12.75">
      <c r="F2272" s="17"/>
      <c r="G2272" s="19"/>
      <c r="H2272" s="23"/>
      <c r="I2272" s="4"/>
      <c r="J2272" s="14"/>
    </row>
    <row r="2273" spans="6:10" ht="12.75">
      <c r="F2273" s="17"/>
      <c r="G2273" s="19"/>
      <c r="H2273" s="23"/>
      <c r="I2273" s="4"/>
      <c r="J2273" s="14"/>
    </row>
    <row r="2274" spans="6:10" ht="12.75">
      <c r="F2274" s="17"/>
      <c r="G2274" s="19"/>
      <c r="H2274" s="23"/>
      <c r="I2274" s="4"/>
      <c r="J2274" s="14"/>
    </row>
    <row r="2275" spans="6:10" ht="12.75">
      <c r="F2275" s="17"/>
      <c r="G2275" s="19"/>
      <c r="H2275" s="23"/>
      <c r="I2275" s="4"/>
      <c r="J2275" s="14"/>
    </row>
    <row r="2276" spans="6:10" ht="12.75">
      <c r="F2276" s="17"/>
      <c r="G2276" s="19"/>
      <c r="H2276" s="23"/>
      <c r="I2276" s="4"/>
      <c r="J2276" s="14"/>
    </row>
    <row r="2277" spans="6:10" ht="12.75">
      <c r="F2277" s="17"/>
      <c r="G2277" s="19"/>
      <c r="H2277" s="23"/>
      <c r="I2277" s="4"/>
      <c r="J2277" s="14"/>
    </row>
    <row r="2278" spans="6:10" ht="12.75">
      <c r="F2278" s="17"/>
      <c r="G2278" s="19"/>
      <c r="H2278" s="23"/>
      <c r="I2278" s="4"/>
      <c r="J2278" s="14"/>
    </row>
    <row r="2279" spans="6:10" ht="12.75">
      <c r="F2279" s="17"/>
      <c r="G2279" s="19"/>
      <c r="H2279" s="23"/>
      <c r="I2279" s="4"/>
      <c r="J2279" s="14"/>
    </row>
    <row r="2280" spans="6:10" ht="12.75">
      <c r="F2280" s="17"/>
      <c r="G2280" s="19"/>
      <c r="H2280" s="23"/>
      <c r="I2280" s="4"/>
      <c r="J2280" s="14"/>
    </row>
    <row r="2281" spans="6:10" ht="12.75">
      <c r="F2281" s="17"/>
      <c r="G2281" s="19"/>
      <c r="H2281" s="23"/>
      <c r="I2281" s="4"/>
      <c r="J2281" s="14"/>
    </row>
    <row r="2282" spans="6:10" ht="12.75">
      <c r="F2282" s="17"/>
      <c r="G2282" s="19"/>
      <c r="H2282" s="23"/>
      <c r="I2282" s="4"/>
      <c r="J2282" s="14"/>
    </row>
    <row r="2283" spans="6:10" ht="12.75">
      <c r="F2283" s="17"/>
      <c r="G2283" s="19"/>
      <c r="H2283" s="23"/>
      <c r="I2283" s="4"/>
      <c r="J2283" s="14"/>
    </row>
    <row r="2284" spans="6:10" ht="12.75">
      <c r="F2284" s="17"/>
      <c r="G2284" s="19"/>
      <c r="H2284" s="23"/>
      <c r="I2284" s="4"/>
      <c r="J2284" s="14"/>
    </row>
    <row r="2285" spans="6:10" ht="12.75">
      <c r="F2285" s="17"/>
      <c r="G2285" s="19"/>
      <c r="H2285" s="23"/>
      <c r="I2285" s="4"/>
      <c r="J2285" s="14"/>
    </row>
    <row r="2286" spans="6:10" ht="12.75">
      <c r="F2286" s="17"/>
      <c r="G2286" s="19"/>
      <c r="H2286" s="23"/>
      <c r="I2286" s="4"/>
      <c r="J2286" s="14"/>
    </row>
    <row r="2287" spans="6:10" ht="12.75">
      <c r="F2287" s="17"/>
      <c r="G2287" s="19"/>
      <c r="H2287" s="23"/>
      <c r="I2287" s="4"/>
      <c r="J2287" s="14"/>
    </row>
    <row r="2288" spans="6:10" ht="12.75">
      <c r="F2288" s="17"/>
      <c r="G2288" s="19"/>
      <c r="H2288" s="23"/>
      <c r="I2288" s="4"/>
      <c r="J2288" s="14"/>
    </row>
    <row r="2289" spans="6:10" ht="12.75">
      <c r="F2289" s="17"/>
      <c r="G2289" s="19"/>
      <c r="H2289" s="23"/>
      <c r="I2289" s="4"/>
      <c r="J2289" s="14"/>
    </row>
    <row r="2290" spans="6:10" ht="12.75">
      <c r="F2290" s="17"/>
      <c r="G2290" s="19"/>
      <c r="H2290" s="23"/>
      <c r="I2290" s="4"/>
      <c r="J2290" s="14"/>
    </row>
    <row r="2291" spans="6:10" ht="12.75">
      <c r="F2291" s="17"/>
      <c r="G2291" s="19"/>
      <c r="H2291" s="23"/>
      <c r="I2291" s="4"/>
      <c r="J2291" s="14"/>
    </row>
    <row r="2292" spans="6:10" ht="12.75">
      <c r="F2292" s="17"/>
      <c r="G2292" s="19"/>
      <c r="H2292" s="23"/>
      <c r="I2292" s="4"/>
      <c r="J2292" s="14"/>
    </row>
    <row r="2293" spans="6:10" ht="12.75">
      <c r="F2293" s="17"/>
      <c r="G2293" s="19"/>
      <c r="H2293" s="23"/>
      <c r="I2293" s="4"/>
      <c r="J2293" s="14"/>
    </row>
    <row r="2294" spans="6:10" ht="12.75">
      <c r="F2294" s="17"/>
      <c r="G2294" s="19"/>
      <c r="H2294" s="23"/>
      <c r="I2294" s="4"/>
      <c r="J2294" s="14"/>
    </row>
    <row r="2295" spans="6:10" ht="12.75">
      <c r="F2295" s="17"/>
      <c r="G2295" s="19"/>
      <c r="H2295" s="23"/>
      <c r="I2295" s="4"/>
      <c r="J2295" s="14"/>
    </row>
    <row r="2296" spans="6:10" ht="12.75">
      <c r="F2296" s="17"/>
      <c r="G2296" s="19"/>
      <c r="H2296" s="23"/>
      <c r="I2296" s="4"/>
      <c r="J2296" s="14"/>
    </row>
    <row r="2297" spans="6:10" ht="12.75">
      <c r="F2297" s="17"/>
      <c r="G2297" s="19"/>
      <c r="H2297" s="23"/>
      <c r="I2297" s="4"/>
      <c r="J2297" s="14"/>
    </row>
    <row r="2298" spans="6:10" ht="12.75">
      <c r="F2298" s="17"/>
      <c r="G2298" s="19"/>
      <c r="H2298" s="23"/>
      <c r="I2298" s="4"/>
      <c r="J2298" s="14"/>
    </row>
    <row r="2299" spans="6:10" ht="12.75">
      <c r="F2299" s="17"/>
      <c r="G2299" s="19"/>
      <c r="H2299" s="23"/>
      <c r="I2299" s="4"/>
      <c r="J2299" s="14"/>
    </row>
    <row r="2300" spans="6:10" ht="12.75">
      <c r="F2300" s="17"/>
      <c r="G2300" s="19"/>
      <c r="H2300" s="23"/>
      <c r="I2300" s="4"/>
      <c r="J2300" s="14"/>
    </row>
    <row r="2301" spans="6:10" ht="12.75">
      <c r="F2301" s="17"/>
      <c r="G2301" s="19"/>
      <c r="H2301" s="23"/>
      <c r="I2301" s="4"/>
      <c r="J2301" s="14"/>
    </row>
    <row r="2302" spans="6:10" ht="12.75">
      <c r="F2302" s="17"/>
      <c r="G2302" s="19"/>
      <c r="H2302" s="23"/>
      <c r="I2302" s="4"/>
      <c r="J2302" s="14"/>
    </row>
    <row r="2303" spans="6:10" ht="12.75">
      <c r="F2303" s="17"/>
      <c r="G2303" s="19"/>
      <c r="H2303" s="23"/>
      <c r="I2303" s="4"/>
      <c r="J2303" s="14"/>
    </row>
    <row r="2304" spans="6:10" ht="12.75">
      <c r="F2304" s="17"/>
      <c r="G2304" s="19"/>
      <c r="H2304" s="23"/>
      <c r="I2304" s="4"/>
      <c r="J2304" s="14"/>
    </row>
    <row r="2305" spans="6:10" ht="12.75">
      <c r="F2305" s="17"/>
      <c r="G2305" s="19"/>
      <c r="H2305" s="23"/>
      <c r="I2305" s="4"/>
      <c r="J2305" s="14"/>
    </row>
    <row r="2306" spans="6:10" ht="12.75">
      <c r="F2306" s="17"/>
      <c r="G2306" s="19"/>
      <c r="H2306" s="23"/>
      <c r="I2306" s="4"/>
      <c r="J2306" s="14"/>
    </row>
    <row r="2307" spans="6:10" ht="12.75">
      <c r="F2307" s="17"/>
      <c r="G2307" s="19"/>
      <c r="H2307" s="23"/>
      <c r="I2307" s="4"/>
      <c r="J2307" s="14"/>
    </row>
    <row r="2308" spans="6:10" ht="12.75">
      <c r="F2308" s="17"/>
      <c r="G2308" s="19"/>
      <c r="H2308" s="23"/>
      <c r="I2308" s="4"/>
      <c r="J2308" s="14"/>
    </row>
    <row r="2309" spans="6:10" ht="12.75">
      <c r="F2309" s="17"/>
      <c r="G2309" s="19"/>
      <c r="H2309" s="23"/>
      <c r="I2309" s="4"/>
      <c r="J2309" s="14"/>
    </row>
    <row r="2310" spans="6:10" ht="12.75">
      <c r="F2310" s="17"/>
      <c r="G2310" s="19"/>
      <c r="H2310" s="23"/>
      <c r="I2310" s="4"/>
      <c r="J2310" s="14"/>
    </row>
    <row r="2311" spans="6:10" ht="12.75">
      <c r="F2311" s="17"/>
      <c r="G2311" s="19"/>
      <c r="H2311" s="23"/>
      <c r="I2311" s="4"/>
      <c r="J2311" s="14"/>
    </row>
    <row r="2312" spans="6:10" ht="12.75">
      <c r="F2312" s="17"/>
      <c r="G2312" s="19"/>
      <c r="H2312" s="23"/>
      <c r="I2312" s="4"/>
      <c r="J2312" s="14"/>
    </row>
    <row r="2313" spans="6:10" ht="12.75">
      <c r="F2313" s="17"/>
      <c r="G2313" s="19"/>
      <c r="H2313" s="23"/>
      <c r="I2313" s="4"/>
      <c r="J2313" s="14"/>
    </row>
    <row r="2314" spans="6:10" ht="12.75">
      <c r="F2314" s="17"/>
      <c r="G2314" s="19"/>
      <c r="H2314" s="23"/>
      <c r="I2314" s="4"/>
      <c r="J2314" s="14"/>
    </row>
    <row r="2315" spans="6:10" ht="12.75">
      <c r="F2315" s="17"/>
      <c r="G2315" s="19"/>
      <c r="H2315" s="23"/>
      <c r="I2315" s="4"/>
      <c r="J2315" s="14"/>
    </row>
    <row r="2316" spans="6:10" ht="12.75">
      <c r="F2316" s="17"/>
      <c r="G2316" s="19"/>
      <c r="H2316" s="23"/>
      <c r="I2316" s="4"/>
      <c r="J2316" s="14"/>
    </row>
    <row r="2317" spans="6:10" ht="12.75">
      <c r="F2317" s="17"/>
      <c r="G2317" s="19"/>
      <c r="H2317" s="23"/>
      <c r="I2317" s="4"/>
      <c r="J2317" s="14"/>
    </row>
    <row r="2318" spans="6:10" ht="12.75">
      <c r="F2318" s="17"/>
      <c r="G2318" s="19"/>
      <c r="H2318" s="23"/>
      <c r="I2318" s="4"/>
      <c r="J2318" s="14"/>
    </row>
    <row r="2319" spans="6:10" ht="12.75">
      <c r="F2319" s="17"/>
      <c r="G2319" s="19"/>
      <c r="H2319" s="23"/>
      <c r="I2319" s="4"/>
      <c r="J2319" s="14"/>
    </row>
    <row r="2320" spans="6:10" ht="12.75">
      <c r="F2320" s="17"/>
      <c r="G2320" s="19"/>
      <c r="H2320" s="23"/>
      <c r="I2320" s="4"/>
      <c r="J2320" s="14"/>
    </row>
    <row r="2321" spans="6:10" ht="12.75">
      <c r="F2321" s="17"/>
      <c r="G2321" s="19"/>
      <c r="H2321" s="23"/>
      <c r="I2321" s="4"/>
      <c r="J2321" s="14"/>
    </row>
    <row r="2322" spans="6:10" ht="12.75">
      <c r="F2322" s="17"/>
      <c r="G2322" s="19"/>
      <c r="H2322" s="23"/>
      <c r="I2322" s="4"/>
      <c r="J2322" s="14"/>
    </row>
    <row r="2323" spans="6:10" ht="12.75">
      <c r="F2323" s="17"/>
      <c r="G2323" s="19"/>
      <c r="H2323" s="23"/>
      <c r="I2323" s="4"/>
      <c r="J2323" s="14"/>
    </row>
    <row r="2324" spans="6:10" ht="12.75">
      <c r="F2324" s="17"/>
      <c r="G2324" s="19"/>
      <c r="H2324" s="23"/>
      <c r="I2324" s="4"/>
      <c r="J2324" s="14"/>
    </row>
    <row r="2325" spans="6:10" ht="12.75">
      <c r="F2325" s="17"/>
      <c r="G2325" s="19"/>
      <c r="H2325" s="23"/>
      <c r="I2325" s="4"/>
      <c r="J2325" s="14"/>
    </row>
    <row r="2326" spans="6:10" ht="12.75">
      <c r="F2326" s="17"/>
      <c r="G2326" s="19"/>
      <c r="H2326" s="23"/>
      <c r="I2326" s="4"/>
      <c r="J2326" s="14"/>
    </row>
    <row r="2327" spans="6:10" ht="12.75">
      <c r="F2327" s="17"/>
      <c r="G2327" s="19"/>
      <c r="H2327" s="23"/>
      <c r="I2327" s="4"/>
      <c r="J2327" s="14"/>
    </row>
    <row r="2328" spans="6:10" ht="12.75">
      <c r="F2328" s="17"/>
      <c r="G2328" s="19"/>
      <c r="H2328" s="23"/>
      <c r="I2328" s="4"/>
      <c r="J2328" s="14"/>
    </row>
    <row r="2329" spans="6:10" ht="12.75">
      <c r="F2329" s="17"/>
      <c r="G2329" s="19"/>
      <c r="H2329" s="23"/>
      <c r="I2329" s="4"/>
      <c r="J2329" s="14"/>
    </row>
    <row r="2330" spans="6:10" ht="12.75">
      <c r="F2330" s="17"/>
      <c r="G2330" s="19"/>
      <c r="H2330" s="23"/>
      <c r="I2330" s="4"/>
      <c r="J2330" s="14"/>
    </row>
    <row r="2331" spans="6:10" ht="12.75">
      <c r="F2331" s="17"/>
      <c r="G2331" s="19"/>
      <c r="H2331" s="23"/>
      <c r="I2331" s="4"/>
      <c r="J2331" s="14"/>
    </row>
    <row r="2332" spans="6:10" ht="12.75">
      <c r="F2332" s="17"/>
      <c r="G2332" s="19"/>
      <c r="H2332" s="23"/>
      <c r="I2332" s="4"/>
      <c r="J2332" s="14"/>
    </row>
    <row r="2333" spans="6:10" ht="12.75">
      <c r="F2333" s="17"/>
      <c r="G2333" s="19"/>
      <c r="H2333" s="23"/>
      <c r="I2333" s="4"/>
      <c r="J2333" s="14"/>
    </row>
    <row r="2334" spans="6:10" ht="12.75">
      <c r="F2334" s="17"/>
      <c r="G2334" s="19"/>
      <c r="H2334" s="23"/>
      <c r="I2334" s="4"/>
      <c r="J2334" s="14"/>
    </row>
    <row r="2335" spans="6:10" ht="12.75">
      <c r="F2335" s="17"/>
      <c r="G2335" s="19"/>
      <c r="H2335" s="23"/>
      <c r="I2335" s="4"/>
      <c r="J2335" s="14"/>
    </row>
    <row r="2336" spans="6:10" ht="12.75">
      <c r="F2336" s="17"/>
      <c r="G2336" s="19"/>
      <c r="H2336" s="23"/>
      <c r="I2336" s="4"/>
      <c r="J2336" s="14"/>
    </row>
    <row r="2337" spans="6:10" ht="12.75">
      <c r="F2337" s="17"/>
      <c r="G2337" s="19"/>
      <c r="H2337" s="23"/>
      <c r="I2337" s="4"/>
      <c r="J2337" s="14"/>
    </row>
    <row r="2338" spans="6:10" ht="12.75">
      <c r="F2338" s="17"/>
      <c r="G2338" s="19"/>
      <c r="H2338" s="23"/>
      <c r="I2338" s="4"/>
      <c r="J2338" s="14"/>
    </row>
    <row r="2339" spans="6:10" ht="12.75">
      <c r="F2339" s="17"/>
      <c r="G2339" s="19"/>
      <c r="H2339" s="23"/>
      <c r="I2339" s="4"/>
      <c r="J2339" s="14"/>
    </row>
    <row r="2340" spans="6:10" ht="12.75">
      <c r="F2340" s="17"/>
      <c r="G2340" s="19"/>
      <c r="H2340" s="23"/>
      <c r="I2340" s="4"/>
      <c r="J2340" s="14"/>
    </row>
    <row r="2341" spans="6:10" ht="12.75">
      <c r="F2341" s="17"/>
      <c r="G2341" s="19"/>
      <c r="H2341" s="23"/>
      <c r="I2341" s="4"/>
      <c r="J2341" s="14"/>
    </row>
    <row r="2342" spans="6:10" ht="12.75">
      <c r="F2342" s="17"/>
      <c r="G2342" s="19"/>
      <c r="H2342" s="23"/>
      <c r="I2342" s="4"/>
      <c r="J2342" s="14"/>
    </row>
    <row r="2343" spans="6:10" ht="12.75">
      <c r="F2343" s="17"/>
      <c r="G2343" s="19"/>
      <c r="H2343" s="23"/>
      <c r="I2343" s="4"/>
      <c r="J2343" s="14"/>
    </row>
    <row r="2344" spans="6:10" ht="12.75">
      <c r="F2344" s="17"/>
      <c r="G2344" s="19"/>
      <c r="H2344" s="23"/>
      <c r="I2344" s="4"/>
      <c r="J2344" s="14"/>
    </row>
    <row r="2345" spans="6:10" ht="12.75">
      <c r="F2345" s="17"/>
      <c r="G2345" s="19"/>
      <c r="H2345" s="23"/>
      <c r="I2345" s="4"/>
      <c r="J2345" s="14"/>
    </row>
    <row r="2346" spans="6:10" ht="12.75">
      <c r="F2346" s="17"/>
      <c r="G2346" s="19"/>
      <c r="H2346" s="23"/>
      <c r="I2346" s="4"/>
      <c r="J2346" s="14"/>
    </row>
    <row r="2347" spans="6:10" ht="12.75">
      <c r="F2347" s="17"/>
      <c r="G2347" s="19"/>
      <c r="H2347" s="23"/>
      <c r="I2347" s="4"/>
      <c r="J2347" s="14"/>
    </row>
    <row r="2348" spans="6:10" ht="12.75">
      <c r="F2348" s="17"/>
      <c r="G2348" s="19"/>
      <c r="H2348" s="23"/>
      <c r="I2348" s="4"/>
      <c r="J2348" s="14"/>
    </row>
    <row r="2349" spans="6:10" ht="12.75">
      <c r="F2349" s="17"/>
      <c r="G2349" s="19"/>
      <c r="H2349" s="23"/>
      <c r="I2349" s="4"/>
      <c r="J2349" s="14"/>
    </row>
    <row r="2350" spans="6:10" ht="12.75">
      <c r="F2350" s="17"/>
      <c r="G2350" s="19"/>
      <c r="H2350" s="23"/>
      <c r="I2350" s="4"/>
      <c r="J2350" s="14"/>
    </row>
    <row r="2351" spans="6:10" ht="12.75">
      <c r="F2351" s="17"/>
      <c r="G2351" s="19"/>
      <c r="H2351" s="23"/>
      <c r="I2351" s="4"/>
      <c r="J2351" s="14"/>
    </row>
    <row r="2352" spans="6:10" ht="12.75">
      <c r="F2352" s="17"/>
      <c r="G2352" s="19"/>
      <c r="H2352" s="23"/>
      <c r="I2352" s="4"/>
      <c r="J2352" s="14"/>
    </row>
    <row r="2353" spans="6:10" ht="12.75">
      <c r="F2353" s="17"/>
      <c r="G2353" s="19"/>
      <c r="H2353" s="23"/>
      <c r="I2353" s="4"/>
      <c r="J2353" s="14"/>
    </row>
    <row r="2354" spans="6:10" ht="12.75">
      <c r="F2354" s="17"/>
      <c r="G2354" s="19"/>
      <c r="H2354" s="23"/>
      <c r="I2354" s="4"/>
      <c r="J2354" s="14"/>
    </row>
    <row r="2355" spans="6:10" ht="12.75">
      <c r="F2355" s="17"/>
      <c r="G2355" s="19"/>
      <c r="H2355" s="23"/>
      <c r="I2355" s="4"/>
      <c r="J2355" s="14"/>
    </row>
    <row r="2356" spans="6:10" ht="12.75">
      <c r="F2356" s="17"/>
      <c r="G2356" s="19"/>
      <c r="H2356" s="23"/>
      <c r="I2356" s="4"/>
      <c r="J2356" s="14"/>
    </row>
    <row r="2357" spans="6:10" ht="12.75">
      <c r="F2357" s="17"/>
      <c r="G2357" s="19"/>
      <c r="H2357" s="23"/>
      <c r="I2357" s="4"/>
      <c r="J2357" s="14"/>
    </row>
    <row r="2358" spans="6:10" ht="12.75">
      <c r="F2358" s="17"/>
      <c r="G2358" s="19"/>
      <c r="H2358" s="23"/>
      <c r="I2358" s="4"/>
      <c r="J2358" s="14"/>
    </row>
    <row r="2359" spans="6:10" ht="12.75">
      <c r="F2359" s="17"/>
      <c r="G2359" s="19"/>
      <c r="H2359" s="23"/>
      <c r="I2359" s="4"/>
      <c r="J2359" s="14"/>
    </row>
    <row r="2360" spans="6:10" ht="12.75">
      <c r="F2360" s="17"/>
      <c r="G2360" s="19"/>
      <c r="H2360" s="23"/>
      <c r="I2360" s="4"/>
      <c r="J2360" s="14"/>
    </row>
    <row r="2361" spans="6:10" ht="12.75">
      <c r="F2361" s="17"/>
      <c r="G2361" s="19"/>
      <c r="H2361" s="23"/>
      <c r="I2361" s="4"/>
      <c r="J2361" s="14"/>
    </row>
    <row r="2362" spans="6:10" ht="12.75">
      <c r="F2362" s="17"/>
      <c r="G2362" s="19"/>
      <c r="H2362" s="23"/>
      <c r="I2362" s="4"/>
      <c r="J2362" s="14"/>
    </row>
    <row r="2363" spans="6:10" ht="12.75">
      <c r="F2363" s="17"/>
      <c r="G2363" s="19"/>
      <c r="H2363" s="23"/>
      <c r="I2363" s="4"/>
      <c r="J2363" s="14"/>
    </row>
    <row r="2364" spans="6:10" ht="12.75">
      <c r="F2364" s="17"/>
      <c r="G2364" s="19"/>
      <c r="H2364" s="23"/>
      <c r="I2364" s="4"/>
      <c r="J2364" s="14"/>
    </row>
    <row r="2365" spans="6:10" ht="12.75">
      <c r="F2365" s="17"/>
      <c r="G2365" s="19"/>
      <c r="H2365" s="23"/>
      <c r="I2365" s="4"/>
      <c r="J2365" s="14"/>
    </row>
    <row r="2366" spans="6:10" ht="12.75">
      <c r="F2366" s="17"/>
      <c r="G2366" s="19"/>
      <c r="H2366" s="23"/>
      <c r="I2366" s="4"/>
      <c r="J2366" s="14"/>
    </row>
    <row r="2367" spans="6:10" ht="12.75">
      <c r="F2367" s="17"/>
      <c r="G2367" s="19"/>
      <c r="H2367" s="23"/>
      <c r="I2367" s="4"/>
      <c r="J2367" s="14"/>
    </row>
    <row r="2368" spans="6:10" ht="12.75">
      <c r="F2368" s="17"/>
      <c r="G2368" s="19"/>
      <c r="H2368" s="23"/>
      <c r="I2368" s="4"/>
      <c r="J2368" s="14"/>
    </row>
    <row r="2369" spans="6:10" ht="12.75">
      <c r="F2369" s="17"/>
      <c r="G2369" s="19"/>
      <c r="H2369" s="23"/>
      <c r="I2369" s="4"/>
      <c r="J2369" s="14"/>
    </row>
    <row r="2370" spans="6:10" ht="12.75">
      <c r="F2370" s="17"/>
      <c r="G2370" s="19"/>
      <c r="H2370" s="23"/>
      <c r="I2370" s="4"/>
      <c r="J2370" s="14"/>
    </row>
    <row r="2371" spans="6:10" ht="12.75">
      <c r="F2371" s="17"/>
      <c r="G2371" s="19"/>
      <c r="H2371" s="23"/>
      <c r="I2371" s="4"/>
      <c r="J2371" s="14"/>
    </row>
    <row r="2372" spans="6:10" ht="12.75">
      <c r="F2372" s="17"/>
      <c r="G2372" s="19"/>
      <c r="H2372" s="23"/>
      <c r="I2372" s="4"/>
      <c r="J2372" s="14"/>
    </row>
    <row r="2373" spans="6:10" ht="12.75">
      <c r="F2373" s="17"/>
      <c r="G2373" s="19"/>
      <c r="H2373" s="23"/>
      <c r="I2373" s="4"/>
      <c r="J2373" s="14"/>
    </row>
    <row r="2374" spans="6:10" ht="12.75">
      <c r="F2374" s="17"/>
      <c r="G2374" s="19"/>
      <c r="H2374" s="23"/>
      <c r="I2374" s="4"/>
      <c r="J2374" s="14"/>
    </row>
    <row r="2375" spans="6:10" ht="12.75">
      <c r="F2375" s="17"/>
      <c r="G2375" s="19"/>
      <c r="H2375" s="23"/>
      <c r="I2375" s="4"/>
      <c r="J2375" s="14"/>
    </row>
    <row r="2376" spans="6:10" ht="12.75">
      <c r="F2376" s="17"/>
      <c r="G2376" s="19"/>
      <c r="H2376" s="23"/>
      <c r="I2376" s="4"/>
      <c r="J2376" s="14"/>
    </row>
    <row r="2377" spans="6:10" ht="12.75">
      <c r="F2377" s="17"/>
      <c r="G2377" s="19"/>
      <c r="H2377" s="23"/>
      <c r="I2377" s="4"/>
      <c r="J2377" s="14"/>
    </row>
    <row r="2378" spans="6:10" ht="12.75">
      <c r="F2378" s="17"/>
      <c r="G2378" s="19"/>
      <c r="H2378" s="23"/>
      <c r="I2378" s="4"/>
      <c r="J2378" s="14"/>
    </row>
    <row r="2379" spans="6:10" ht="12.75">
      <c r="F2379" s="17"/>
      <c r="G2379" s="19"/>
      <c r="H2379" s="23"/>
      <c r="I2379" s="4"/>
      <c r="J2379" s="14"/>
    </row>
    <row r="2380" spans="6:10" ht="12.75">
      <c r="F2380" s="17"/>
      <c r="G2380" s="19"/>
      <c r="H2380" s="23"/>
      <c r="I2380" s="4"/>
      <c r="J2380" s="14"/>
    </row>
    <row r="2381" spans="6:10" ht="12.75">
      <c r="F2381" s="17"/>
      <c r="G2381" s="19"/>
      <c r="H2381" s="23"/>
      <c r="I2381" s="4"/>
      <c r="J2381" s="14"/>
    </row>
    <row r="2382" spans="6:10" ht="12.75">
      <c r="F2382" s="17"/>
      <c r="G2382" s="19"/>
      <c r="H2382" s="23"/>
      <c r="I2382" s="4"/>
      <c r="J2382" s="14"/>
    </row>
    <row r="2383" spans="6:10" ht="12.75">
      <c r="F2383" s="17"/>
      <c r="G2383" s="19"/>
      <c r="H2383" s="23"/>
      <c r="I2383" s="4"/>
      <c r="J2383" s="14"/>
    </row>
    <row r="2384" spans="6:10" ht="12.75">
      <c r="F2384" s="17"/>
      <c r="G2384" s="19"/>
      <c r="H2384" s="23"/>
      <c r="I2384" s="4"/>
      <c r="J2384" s="14"/>
    </row>
    <row r="2385" spans="6:10" ht="12.75">
      <c r="F2385" s="17"/>
      <c r="G2385" s="19"/>
      <c r="H2385" s="23"/>
      <c r="I2385" s="4"/>
      <c r="J2385" s="14"/>
    </row>
    <row r="2386" spans="6:10" ht="12.75">
      <c r="F2386" s="17"/>
      <c r="G2386" s="19"/>
      <c r="H2386" s="23"/>
      <c r="I2386" s="4"/>
      <c r="J2386" s="14"/>
    </row>
    <row r="2387" spans="6:10" ht="12.75">
      <c r="F2387" s="17"/>
      <c r="G2387" s="19"/>
      <c r="H2387" s="23"/>
      <c r="I2387" s="4"/>
      <c r="J2387" s="14"/>
    </row>
    <row r="2388" spans="6:10" ht="12.75">
      <c r="F2388" s="17"/>
      <c r="G2388" s="19"/>
      <c r="H2388" s="23"/>
      <c r="I2388" s="4"/>
      <c r="J2388" s="14"/>
    </row>
    <row r="2389" spans="6:10" ht="12.75">
      <c r="F2389" s="17"/>
      <c r="G2389" s="19"/>
      <c r="H2389" s="23"/>
      <c r="I2389" s="4"/>
      <c r="J2389" s="14"/>
    </row>
    <row r="2390" spans="6:10" ht="12.75">
      <c r="F2390" s="17"/>
      <c r="G2390" s="19"/>
      <c r="H2390" s="23"/>
      <c r="I2390" s="4"/>
      <c r="J2390" s="14"/>
    </row>
    <row r="2391" spans="6:10" ht="12.75">
      <c r="F2391" s="17"/>
      <c r="G2391" s="19"/>
      <c r="H2391" s="23"/>
      <c r="I2391" s="4"/>
      <c r="J2391" s="14"/>
    </row>
    <row r="2392" spans="6:10" ht="12.75">
      <c r="F2392" s="17"/>
      <c r="G2392" s="19"/>
      <c r="H2392" s="23"/>
      <c r="I2392" s="4"/>
      <c r="J2392" s="14"/>
    </row>
    <row r="2393" spans="6:10" ht="12.75">
      <c r="F2393" s="17"/>
      <c r="G2393" s="19"/>
      <c r="H2393" s="23"/>
      <c r="I2393" s="4"/>
      <c r="J2393" s="14"/>
    </row>
    <row r="2394" spans="6:10" ht="12.75">
      <c r="F2394" s="17"/>
      <c r="G2394" s="19"/>
      <c r="H2394" s="23"/>
      <c r="I2394" s="4"/>
      <c r="J2394" s="14"/>
    </row>
    <row r="2395" spans="6:10" ht="12.75">
      <c r="F2395" s="17"/>
      <c r="G2395" s="19"/>
      <c r="H2395" s="23"/>
      <c r="I2395" s="4"/>
      <c r="J2395" s="14"/>
    </row>
    <row r="2396" spans="6:10" ht="12.75">
      <c r="F2396" s="17"/>
      <c r="G2396" s="19"/>
      <c r="H2396" s="23"/>
      <c r="I2396" s="4"/>
      <c r="J2396" s="14"/>
    </row>
    <row r="2397" spans="6:10" ht="12.75">
      <c r="F2397" s="17"/>
      <c r="G2397" s="19"/>
      <c r="H2397" s="23"/>
      <c r="I2397" s="4"/>
      <c r="J2397" s="14"/>
    </row>
    <row r="2398" spans="6:10" ht="12.75">
      <c r="F2398" s="17"/>
      <c r="G2398" s="19"/>
      <c r="H2398" s="23"/>
      <c r="I2398" s="4"/>
      <c r="J2398" s="14"/>
    </row>
    <row r="2399" spans="6:10" ht="12.75">
      <c r="F2399" s="17"/>
      <c r="G2399" s="19"/>
      <c r="H2399" s="23"/>
      <c r="I2399" s="4"/>
      <c r="J2399" s="14"/>
    </row>
    <row r="2400" spans="6:10" ht="12.75">
      <c r="F2400" s="17"/>
      <c r="G2400" s="19"/>
      <c r="H2400" s="23"/>
      <c r="I2400" s="4"/>
      <c r="J2400" s="14"/>
    </row>
    <row r="2401" spans="6:10" ht="12.75">
      <c r="F2401" s="17"/>
      <c r="G2401" s="19"/>
      <c r="H2401" s="23"/>
      <c r="I2401" s="4"/>
      <c r="J2401" s="14"/>
    </row>
    <row r="2402" spans="6:10" ht="12.75">
      <c r="F2402" s="17"/>
      <c r="G2402" s="19"/>
      <c r="H2402" s="23"/>
      <c r="I2402" s="4"/>
      <c r="J2402" s="14"/>
    </row>
    <row r="2403" spans="6:10" ht="12.75">
      <c r="F2403" s="17"/>
      <c r="G2403" s="19"/>
      <c r="H2403" s="23"/>
      <c r="I2403" s="4"/>
      <c r="J2403" s="14"/>
    </row>
    <row r="2404" spans="6:10" ht="12.75">
      <c r="F2404" s="17"/>
      <c r="G2404" s="19"/>
      <c r="H2404" s="23"/>
      <c r="I2404" s="4"/>
      <c r="J2404" s="14"/>
    </row>
    <row r="2405" spans="6:10" ht="12.75">
      <c r="F2405" s="17"/>
      <c r="G2405" s="19"/>
      <c r="H2405" s="23"/>
      <c r="I2405" s="4"/>
      <c r="J2405" s="14"/>
    </row>
    <row r="2406" spans="6:10" ht="12.75">
      <c r="F2406" s="17"/>
      <c r="G2406" s="19"/>
      <c r="H2406" s="23"/>
      <c r="I2406" s="4"/>
      <c r="J2406" s="14"/>
    </row>
    <row r="2407" spans="6:10" ht="12.75">
      <c r="F2407" s="17"/>
      <c r="G2407" s="19"/>
      <c r="H2407" s="23"/>
      <c r="I2407" s="4"/>
      <c r="J2407" s="14"/>
    </row>
    <row r="2408" spans="6:10" ht="12.75">
      <c r="F2408" s="17"/>
      <c r="G2408" s="19"/>
      <c r="H2408" s="23"/>
      <c r="I2408" s="4"/>
      <c r="J2408" s="14"/>
    </row>
    <row r="2409" spans="6:10" ht="12.75">
      <c r="F2409" s="17"/>
      <c r="G2409" s="19"/>
      <c r="H2409" s="23"/>
      <c r="I2409" s="4"/>
      <c r="J2409" s="14"/>
    </row>
    <row r="2410" spans="6:10" ht="12.75">
      <c r="F2410" s="17"/>
      <c r="G2410" s="19"/>
      <c r="H2410" s="23"/>
      <c r="I2410" s="4"/>
      <c r="J2410" s="14"/>
    </row>
    <row r="2411" spans="6:10" ht="12.75">
      <c r="F2411" s="17"/>
      <c r="G2411" s="19"/>
      <c r="H2411" s="23"/>
      <c r="I2411" s="4"/>
      <c r="J2411" s="14"/>
    </row>
    <row r="2412" spans="6:10" ht="12.75">
      <c r="F2412" s="17"/>
      <c r="G2412" s="19"/>
      <c r="H2412" s="23"/>
      <c r="I2412" s="4"/>
      <c r="J2412" s="14"/>
    </row>
    <row r="2413" spans="6:10" ht="12.75">
      <c r="F2413" s="17"/>
      <c r="G2413" s="19"/>
      <c r="H2413" s="23"/>
      <c r="I2413" s="4"/>
      <c r="J2413" s="14"/>
    </row>
    <row r="2414" spans="6:10" ht="12.75">
      <c r="F2414" s="17"/>
      <c r="G2414" s="19"/>
      <c r="H2414" s="23"/>
      <c r="I2414" s="4"/>
      <c r="J2414" s="14"/>
    </row>
    <row r="2415" spans="6:10" ht="12.75">
      <c r="F2415" s="17"/>
      <c r="G2415" s="19"/>
      <c r="H2415" s="23"/>
      <c r="I2415" s="4"/>
      <c r="J2415" s="14"/>
    </row>
    <row r="2416" spans="6:10" ht="12.75">
      <c r="F2416" s="17"/>
      <c r="G2416" s="19"/>
      <c r="H2416" s="23"/>
      <c r="I2416" s="4"/>
      <c r="J2416" s="14"/>
    </row>
    <row r="2417" spans="6:10" ht="12.75">
      <c r="F2417" s="17"/>
      <c r="G2417" s="19"/>
      <c r="H2417" s="23"/>
      <c r="I2417" s="4"/>
      <c r="J2417" s="14"/>
    </row>
    <row r="2418" spans="6:10" ht="12.75">
      <c r="F2418" s="17"/>
      <c r="G2418" s="19"/>
      <c r="H2418" s="23"/>
      <c r="I2418" s="4"/>
      <c r="J2418" s="14"/>
    </row>
    <row r="2419" spans="6:10" ht="12.75">
      <c r="F2419" s="17"/>
      <c r="G2419" s="19"/>
      <c r="H2419" s="23"/>
      <c r="I2419" s="4"/>
      <c r="J2419" s="14"/>
    </row>
    <row r="2420" spans="6:10" ht="12.75">
      <c r="F2420" s="17"/>
      <c r="G2420" s="19"/>
      <c r="H2420" s="23"/>
      <c r="I2420" s="4"/>
      <c r="J2420" s="14"/>
    </row>
    <row r="2421" spans="6:10" ht="12.75">
      <c r="F2421" s="17"/>
      <c r="G2421" s="19"/>
      <c r="H2421" s="23"/>
      <c r="I2421" s="4"/>
      <c r="J2421" s="14"/>
    </row>
    <row r="2422" spans="6:10" ht="12.75">
      <c r="F2422" s="17"/>
      <c r="G2422" s="19"/>
      <c r="H2422" s="23"/>
      <c r="I2422" s="4"/>
      <c r="J2422" s="14"/>
    </row>
    <row r="2423" spans="6:10" ht="12.75">
      <c r="F2423" s="17"/>
      <c r="G2423" s="19"/>
      <c r="H2423" s="23"/>
      <c r="I2423" s="4"/>
      <c r="J2423" s="14"/>
    </row>
    <row r="2424" spans="6:10" ht="12.75">
      <c r="F2424" s="17"/>
      <c r="G2424" s="19"/>
      <c r="H2424" s="23"/>
      <c r="I2424" s="4"/>
      <c r="J2424" s="14"/>
    </row>
    <row r="2425" spans="6:10" ht="12.75">
      <c r="F2425" s="17"/>
      <c r="G2425" s="19"/>
      <c r="H2425" s="23"/>
      <c r="I2425" s="4"/>
      <c r="J2425" s="14"/>
    </row>
    <row r="2426" spans="6:10" ht="12.75">
      <c r="F2426" s="17"/>
      <c r="G2426" s="19"/>
      <c r="H2426" s="23"/>
      <c r="I2426" s="4"/>
      <c r="J2426" s="14"/>
    </row>
    <row r="2427" spans="6:10" ht="12.75">
      <c r="F2427" s="17"/>
      <c r="G2427" s="19"/>
      <c r="H2427" s="23"/>
      <c r="I2427" s="4"/>
      <c r="J2427" s="14"/>
    </row>
    <row r="2428" spans="6:10" ht="12.75">
      <c r="F2428" s="17"/>
      <c r="G2428" s="19"/>
      <c r="H2428" s="23"/>
      <c r="I2428" s="4"/>
      <c r="J2428" s="14"/>
    </row>
    <row r="2429" spans="6:10" ht="12.75">
      <c r="F2429" s="17"/>
      <c r="G2429" s="19"/>
      <c r="H2429" s="23"/>
      <c r="I2429" s="4"/>
      <c r="J2429" s="14"/>
    </row>
    <row r="2430" spans="6:10" ht="12.75">
      <c r="F2430" s="17"/>
      <c r="G2430" s="19"/>
      <c r="H2430" s="23"/>
      <c r="I2430" s="4"/>
      <c r="J2430" s="14"/>
    </row>
    <row r="2431" spans="6:10" ht="12.75">
      <c r="F2431" s="17"/>
      <c r="G2431" s="19"/>
      <c r="H2431" s="23"/>
      <c r="I2431" s="4"/>
      <c r="J2431" s="14"/>
    </row>
    <row r="2432" spans="6:10" ht="12.75">
      <c r="F2432" s="17"/>
      <c r="G2432" s="19"/>
      <c r="H2432" s="23"/>
      <c r="I2432" s="4"/>
      <c r="J2432" s="14"/>
    </row>
    <row r="2433" spans="6:10" ht="12.75">
      <c r="F2433" s="17"/>
      <c r="G2433" s="19"/>
      <c r="H2433" s="23"/>
      <c r="I2433" s="4"/>
      <c r="J2433" s="14"/>
    </row>
    <row r="2434" spans="6:10" ht="12.75">
      <c r="F2434" s="17"/>
      <c r="G2434" s="19"/>
      <c r="H2434" s="23"/>
      <c r="I2434" s="4"/>
      <c r="J2434" s="14"/>
    </row>
    <row r="2435" spans="6:10" ht="12.75">
      <c r="F2435" s="17"/>
      <c r="G2435" s="19"/>
      <c r="H2435" s="23"/>
      <c r="I2435" s="4"/>
      <c r="J2435" s="14"/>
    </row>
    <row r="2436" spans="6:10" ht="12.75">
      <c r="F2436" s="17"/>
      <c r="G2436" s="19"/>
      <c r="H2436" s="23"/>
      <c r="I2436" s="4"/>
      <c r="J2436" s="14"/>
    </row>
    <row r="2437" spans="6:10" ht="12.75">
      <c r="F2437" s="17"/>
      <c r="G2437" s="19"/>
      <c r="H2437" s="23"/>
      <c r="I2437" s="4"/>
      <c r="J2437" s="14"/>
    </row>
    <row r="2438" spans="6:10" ht="12.75">
      <c r="F2438" s="17"/>
      <c r="G2438" s="19"/>
      <c r="H2438" s="23"/>
      <c r="I2438" s="4"/>
      <c r="J2438" s="14"/>
    </row>
    <row r="2439" spans="6:10" ht="12.75">
      <c r="F2439" s="17"/>
      <c r="G2439" s="19"/>
      <c r="H2439" s="23"/>
      <c r="I2439" s="4"/>
      <c r="J2439" s="14"/>
    </row>
    <row r="2440" spans="6:10" ht="12.75">
      <c r="F2440" s="17"/>
      <c r="G2440" s="19"/>
      <c r="H2440" s="23"/>
      <c r="I2440" s="4"/>
      <c r="J2440" s="14"/>
    </row>
    <row r="2441" spans="6:10" ht="12.75">
      <c r="F2441" s="17"/>
      <c r="G2441" s="19"/>
      <c r="H2441" s="23"/>
      <c r="I2441" s="4"/>
      <c r="J2441" s="14"/>
    </row>
    <row r="2442" spans="6:10" ht="12.75">
      <c r="F2442" s="17"/>
      <c r="G2442" s="19"/>
      <c r="H2442" s="23"/>
      <c r="I2442" s="4"/>
      <c r="J2442" s="14"/>
    </row>
    <row r="2443" spans="6:10" ht="12.75">
      <c r="F2443" s="17"/>
      <c r="G2443" s="19"/>
      <c r="H2443" s="23"/>
      <c r="I2443" s="4"/>
      <c r="J2443" s="14"/>
    </row>
    <row r="2444" spans="6:10" ht="12.75">
      <c r="F2444" s="17"/>
      <c r="G2444" s="19"/>
      <c r="H2444" s="23"/>
      <c r="I2444" s="4"/>
      <c r="J2444" s="14"/>
    </row>
    <row r="2445" spans="6:10" ht="12.75">
      <c r="F2445" s="17"/>
      <c r="G2445" s="19"/>
      <c r="H2445" s="23"/>
      <c r="I2445" s="4"/>
      <c r="J2445" s="14"/>
    </row>
    <row r="2446" spans="6:10" ht="12.75">
      <c r="F2446" s="17"/>
      <c r="G2446" s="19"/>
      <c r="H2446" s="23"/>
      <c r="I2446" s="4"/>
      <c r="J2446" s="14"/>
    </row>
    <row r="2447" spans="6:10" ht="12.75">
      <c r="F2447" s="17"/>
      <c r="G2447" s="19"/>
      <c r="H2447" s="23"/>
      <c r="I2447" s="4"/>
      <c r="J2447" s="14"/>
    </row>
    <row r="2448" spans="6:10" ht="12.75">
      <c r="F2448" s="17"/>
      <c r="G2448" s="19"/>
      <c r="H2448" s="23"/>
      <c r="I2448" s="4"/>
      <c r="J2448" s="14"/>
    </row>
    <row r="2449" spans="6:10" ht="12.75">
      <c r="F2449" s="17"/>
      <c r="G2449" s="19"/>
      <c r="H2449" s="23"/>
      <c r="I2449" s="4"/>
      <c r="J2449" s="14"/>
    </row>
    <row r="2450" spans="6:10" ht="12.75">
      <c r="F2450" s="17"/>
      <c r="G2450" s="19"/>
      <c r="H2450" s="23"/>
      <c r="I2450" s="4"/>
      <c r="J2450" s="14"/>
    </row>
    <row r="2451" spans="6:10" ht="12.75">
      <c r="F2451" s="17"/>
      <c r="G2451" s="19"/>
      <c r="H2451" s="23"/>
      <c r="I2451" s="4"/>
      <c r="J2451" s="14"/>
    </row>
    <row r="2452" spans="6:10" ht="12.75">
      <c r="F2452" s="17"/>
      <c r="G2452" s="19"/>
      <c r="H2452" s="23"/>
      <c r="I2452" s="4"/>
      <c r="J2452" s="14"/>
    </row>
    <row r="2453" spans="6:10" ht="12.75">
      <c r="F2453" s="17"/>
      <c r="G2453" s="19"/>
      <c r="H2453" s="23"/>
      <c r="I2453" s="4"/>
      <c r="J2453" s="14"/>
    </row>
    <row r="2454" spans="6:10" ht="12.75">
      <c r="F2454" s="17"/>
      <c r="G2454" s="19"/>
      <c r="H2454" s="23"/>
      <c r="I2454" s="4"/>
      <c r="J2454" s="14"/>
    </row>
    <row r="2455" spans="6:10" ht="12.75">
      <c r="F2455" s="17"/>
      <c r="G2455" s="19"/>
      <c r="H2455" s="23"/>
      <c r="I2455" s="4"/>
      <c r="J2455" s="14"/>
    </row>
    <row r="2456" spans="6:10" ht="12.75">
      <c r="F2456" s="17"/>
      <c r="G2456" s="19"/>
      <c r="H2456" s="23"/>
      <c r="I2456" s="4"/>
      <c r="J2456" s="14"/>
    </row>
    <row r="2457" spans="6:10" ht="12.75">
      <c r="F2457" s="17"/>
      <c r="G2457" s="19"/>
      <c r="H2457" s="23"/>
      <c r="I2457" s="4"/>
      <c r="J2457" s="14"/>
    </row>
    <row r="2458" spans="6:10" ht="12.75">
      <c r="F2458" s="17"/>
      <c r="G2458" s="19"/>
      <c r="H2458" s="23"/>
      <c r="I2458" s="4"/>
      <c r="J2458" s="14"/>
    </row>
    <row r="2459" spans="6:10" ht="12.75">
      <c r="F2459" s="17"/>
      <c r="G2459" s="19"/>
      <c r="H2459" s="23"/>
      <c r="I2459" s="4"/>
      <c r="J2459" s="14"/>
    </row>
    <row r="2460" spans="6:10" ht="12.75">
      <c r="F2460" s="17"/>
      <c r="G2460" s="19"/>
      <c r="H2460" s="23"/>
      <c r="I2460" s="4"/>
      <c r="J2460" s="14"/>
    </row>
    <row r="2461" spans="6:10" ht="12.75">
      <c r="F2461" s="17"/>
      <c r="G2461" s="19"/>
      <c r="H2461" s="23"/>
      <c r="I2461" s="4"/>
      <c r="J2461" s="14"/>
    </row>
    <row r="2462" spans="6:10" ht="12.75">
      <c r="F2462" s="17"/>
      <c r="G2462" s="19"/>
      <c r="H2462" s="23"/>
      <c r="I2462" s="4"/>
      <c r="J2462" s="14"/>
    </row>
    <row r="2463" spans="6:10" ht="12.75">
      <c r="F2463" s="17"/>
      <c r="G2463" s="19"/>
      <c r="H2463" s="23"/>
      <c r="I2463" s="4"/>
      <c r="J2463" s="14"/>
    </row>
    <row r="2464" spans="6:10" ht="12.75">
      <c r="F2464" s="17"/>
      <c r="G2464" s="19"/>
      <c r="H2464" s="23"/>
      <c r="I2464" s="4"/>
      <c r="J2464" s="14"/>
    </row>
    <row r="2465" spans="6:10" ht="12.75">
      <c r="F2465" s="17"/>
      <c r="G2465" s="19"/>
      <c r="H2465" s="23"/>
      <c r="I2465" s="4"/>
      <c r="J2465" s="14"/>
    </row>
    <row r="2466" spans="6:10" ht="12.75">
      <c r="F2466" s="17"/>
      <c r="G2466" s="19"/>
      <c r="H2466" s="23"/>
      <c r="I2466" s="4"/>
      <c r="J2466" s="14"/>
    </row>
    <row r="2467" spans="6:10" ht="12.75">
      <c r="F2467" s="17"/>
      <c r="G2467" s="19"/>
      <c r="H2467" s="23"/>
      <c r="I2467" s="4"/>
      <c r="J2467" s="14"/>
    </row>
    <row r="2468" spans="6:10" ht="12.75">
      <c r="F2468" s="17"/>
      <c r="G2468" s="19"/>
      <c r="H2468" s="23"/>
      <c r="I2468" s="4"/>
      <c r="J2468" s="14"/>
    </row>
    <row r="2469" spans="6:10" ht="12.75">
      <c r="F2469" s="17"/>
      <c r="G2469" s="19"/>
      <c r="H2469" s="23"/>
      <c r="I2469" s="4"/>
      <c r="J2469" s="14"/>
    </row>
    <row r="2470" spans="6:10" ht="12.75">
      <c r="F2470" s="17"/>
      <c r="G2470" s="19"/>
      <c r="H2470" s="23"/>
      <c r="I2470" s="4"/>
      <c r="J2470" s="14"/>
    </row>
    <row r="2471" spans="6:10" ht="12.75">
      <c r="F2471" s="17"/>
      <c r="G2471" s="19"/>
      <c r="H2471" s="23"/>
      <c r="I2471" s="4"/>
      <c r="J2471" s="14"/>
    </row>
    <row r="2472" spans="6:10" ht="12.75">
      <c r="F2472" s="17"/>
      <c r="G2472" s="19"/>
      <c r="H2472" s="23"/>
      <c r="I2472" s="4"/>
      <c r="J2472" s="14"/>
    </row>
    <row r="2473" spans="6:10" ht="12.75">
      <c r="F2473" s="17"/>
      <c r="G2473" s="19"/>
      <c r="H2473" s="23"/>
      <c r="I2473" s="4"/>
      <c r="J2473" s="14"/>
    </row>
    <row r="2474" spans="6:10" ht="12.75">
      <c r="F2474" s="17"/>
      <c r="G2474" s="19"/>
      <c r="H2474" s="23"/>
      <c r="I2474" s="4"/>
      <c r="J2474" s="14"/>
    </row>
    <row r="2475" spans="6:10" ht="12.75">
      <c r="F2475" s="17"/>
      <c r="G2475" s="19"/>
      <c r="H2475" s="23"/>
      <c r="I2475" s="4"/>
      <c r="J2475" s="14"/>
    </row>
    <row r="2476" spans="6:10" ht="12.75">
      <c r="F2476" s="17"/>
      <c r="G2476" s="19"/>
      <c r="H2476" s="23"/>
      <c r="I2476" s="4"/>
      <c r="J2476" s="14"/>
    </row>
    <row r="2477" spans="6:10" ht="12.75">
      <c r="F2477" s="17"/>
      <c r="G2477" s="19"/>
      <c r="H2477" s="23"/>
      <c r="I2477" s="4"/>
      <c r="J2477" s="14"/>
    </row>
    <row r="2478" spans="6:10" ht="12.75">
      <c r="F2478" s="17"/>
      <c r="G2478" s="19"/>
      <c r="H2478" s="23"/>
      <c r="I2478" s="4"/>
      <c r="J2478" s="14"/>
    </row>
    <row r="2479" spans="6:10" ht="12.75">
      <c r="F2479" s="17"/>
      <c r="G2479" s="19"/>
      <c r="H2479" s="23"/>
      <c r="I2479" s="4"/>
      <c r="J2479" s="14"/>
    </row>
    <row r="2480" spans="6:10" ht="12.75">
      <c r="F2480" s="17"/>
      <c r="G2480" s="19"/>
      <c r="H2480" s="23"/>
      <c r="I2480" s="4"/>
      <c r="J2480" s="14"/>
    </row>
    <row r="2481" spans="6:10" ht="12.75">
      <c r="F2481" s="17"/>
      <c r="G2481" s="19"/>
      <c r="H2481" s="23"/>
      <c r="I2481" s="4"/>
      <c r="J2481" s="14"/>
    </row>
    <row r="2482" spans="6:10" ht="12.75">
      <c r="F2482" s="17"/>
      <c r="G2482" s="19"/>
      <c r="H2482" s="23"/>
      <c r="I2482" s="4"/>
      <c r="J2482" s="14"/>
    </row>
    <row r="2483" spans="6:10" ht="12.75">
      <c r="F2483" s="17"/>
      <c r="G2483" s="19"/>
      <c r="H2483" s="23"/>
      <c r="I2483" s="4"/>
      <c r="J2483" s="14"/>
    </row>
    <row r="2484" spans="6:10" ht="12.75">
      <c r="F2484" s="17"/>
      <c r="G2484" s="19"/>
      <c r="H2484" s="23"/>
      <c r="I2484" s="4"/>
      <c r="J2484" s="14"/>
    </row>
    <row r="2485" spans="6:10" ht="12.75">
      <c r="F2485" s="17"/>
      <c r="G2485" s="19"/>
      <c r="H2485" s="23"/>
      <c r="I2485" s="4"/>
      <c r="J2485" s="14"/>
    </row>
    <row r="2486" spans="6:10" ht="12.75">
      <c r="F2486" s="17"/>
      <c r="G2486" s="19"/>
      <c r="H2486" s="23"/>
      <c r="I2486" s="4"/>
      <c r="J2486" s="14"/>
    </row>
    <row r="2487" spans="6:10" ht="12.75">
      <c r="F2487" s="17"/>
      <c r="G2487" s="19"/>
      <c r="H2487" s="23"/>
      <c r="I2487" s="4"/>
      <c r="J2487" s="14"/>
    </row>
    <row r="2488" spans="6:10" ht="12.75">
      <c r="F2488" s="17"/>
      <c r="G2488" s="19"/>
      <c r="H2488" s="23"/>
      <c r="I2488" s="4"/>
      <c r="J2488" s="14"/>
    </row>
    <row r="2489" spans="6:10" ht="12.75">
      <c r="F2489" s="17"/>
      <c r="G2489" s="19"/>
      <c r="H2489" s="23"/>
      <c r="I2489" s="4"/>
      <c r="J2489" s="14"/>
    </row>
    <row r="2490" spans="6:10" ht="12.75">
      <c r="F2490" s="17"/>
      <c r="G2490" s="19"/>
      <c r="H2490" s="23"/>
      <c r="I2490" s="4"/>
      <c r="J2490" s="14"/>
    </row>
    <row r="2491" spans="6:10" ht="12.75">
      <c r="F2491" s="17"/>
      <c r="G2491" s="19"/>
      <c r="H2491" s="23"/>
      <c r="I2491" s="4"/>
      <c r="J2491" s="14"/>
    </row>
    <row r="2492" spans="6:10" ht="12.75">
      <c r="F2492" s="17"/>
      <c r="G2492" s="19"/>
      <c r="H2492" s="23"/>
      <c r="I2492" s="4"/>
      <c r="J2492" s="14"/>
    </row>
    <row r="2493" spans="6:10" ht="12.75">
      <c r="F2493" s="17"/>
      <c r="G2493" s="19"/>
      <c r="H2493" s="23"/>
      <c r="I2493" s="4"/>
      <c r="J2493" s="14"/>
    </row>
    <row r="2494" spans="6:10" ht="12.75">
      <c r="F2494" s="17"/>
      <c r="G2494" s="19"/>
      <c r="H2494" s="23"/>
      <c r="I2494" s="4"/>
      <c r="J2494" s="14"/>
    </row>
    <row r="2495" spans="6:10" ht="12.75">
      <c r="F2495" s="17"/>
      <c r="G2495" s="19"/>
      <c r="H2495" s="23"/>
      <c r="I2495" s="4"/>
      <c r="J2495" s="14"/>
    </row>
    <row r="2496" spans="6:10" ht="12.75">
      <c r="F2496" s="17"/>
      <c r="G2496" s="19"/>
      <c r="H2496" s="23"/>
      <c r="I2496" s="4"/>
      <c r="J2496" s="14"/>
    </row>
    <row r="2497" spans="6:10" ht="12.75">
      <c r="F2497" s="17"/>
      <c r="G2497" s="19"/>
      <c r="H2497" s="23"/>
      <c r="I2497" s="4"/>
      <c r="J2497" s="14"/>
    </row>
    <row r="2498" spans="6:10" ht="12.75">
      <c r="F2498" s="17"/>
      <c r="G2498" s="19"/>
      <c r="H2498" s="23"/>
      <c r="I2498" s="4"/>
      <c r="J2498" s="14"/>
    </row>
    <row r="2499" spans="6:10" ht="12.75">
      <c r="F2499" s="17"/>
      <c r="G2499" s="19"/>
      <c r="H2499" s="23"/>
      <c r="I2499" s="4"/>
      <c r="J2499" s="14"/>
    </row>
    <row r="2500" spans="6:10" ht="12.75">
      <c r="F2500" s="17"/>
      <c r="G2500" s="19"/>
      <c r="H2500" s="23"/>
      <c r="I2500" s="4"/>
      <c r="J2500" s="14"/>
    </row>
    <row r="2501" spans="6:10" ht="12.75">
      <c r="F2501" s="17"/>
      <c r="G2501" s="19"/>
      <c r="H2501" s="23"/>
      <c r="I2501" s="4"/>
      <c r="J2501" s="14"/>
    </row>
    <row r="2502" spans="6:10" ht="12.75">
      <c r="F2502" s="17"/>
      <c r="G2502" s="19"/>
      <c r="H2502" s="23"/>
      <c r="I2502" s="4"/>
      <c r="J2502" s="14"/>
    </row>
    <row r="2503" spans="6:10" ht="12.75">
      <c r="F2503" s="17"/>
      <c r="G2503" s="19"/>
      <c r="H2503" s="23"/>
      <c r="I2503" s="4"/>
      <c r="J2503" s="14"/>
    </row>
    <row r="2504" spans="6:10" ht="12.75">
      <c r="F2504" s="17"/>
      <c r="G2504" s="19"/>
      <c r="H2504" s="23"/>
      <c r="I2504" s="4"/>
      <c r="J2504" s="14"/>
    </row>
    <row r="2505" spans="6:10" ht="12.75">
      <c r="F2505" s="17"/>
      <c r="G2505" s="19"/>
      <c r="H2505" s="23"/>
      <c r="I2505" s="4"/>
      <c r="J2505" s="14"/>
    </row>
    <row r="2506" spans="6:10" ht="12.75">
      <c r="F2506" s="17"/>
      <c r="G2506" s="19"/>
      <c r="H2506" s="23"/>
      <c r="I2506" s="4"/>
      <c r="J2506" s="14"/>
    </row>
    <row r="2507" spans="6:10" ht="12.75">
      <c r="F2507" s="17"/>
      <c r="G2507" s="19"/>
      <c r="H2507" s="23"/>
      <c r="I2507" s="4"/>
      <c r="J2507" s="14"/>
    </row>
    <row r="2508" spans="6:10" ht="12.75">
      <c r="F2508" s="17"/>
      <c r="G2508" s="19"/>
      <c r="H2508" s="23"/>
      <c r="I2508" s="4"/>
      <c r="J2508" s="14"/>
    </row>
    <row r="2509" spans="6:10" ht="12.75">
      <c r="F2509" s="17"/>
      <c r="G2509" s="19"/>
      <c r="H2509" s="23"/>
      <c r="I2509" s="4"/>
      <c r="J2509" s="14"/>
    </row>
    <row r="2510" spans="6:10" ht="12.75">
      <c r="F2510" s="17"/>
      <c r="G2510" s="19"/>
      <c r="H2510" s="23"/>
      <c r="I2510" s="4"/>
      <c r="J2510" s="14"/>
    </row>
    <row r="2511" spans="6:10" ht="12.75">
      <c r="F2511" s="17"/>
      <c r="G2511" s="19"/>
      <c r="H2511" s="23"/>
      <c r="I2511" s="4"/>
      <c r="J2511" s="14"/>
    </row>
    <row r="2512" spans="6:10" ht="12.75">
      <c r="F2512" s="17"/>
      <c r="G2512" s="19"/>
      <c r="H2512" s="23"/>
      <c r="I2512" s="4"/>
      <c r="J2512" s="14"/>
    </row>
    <row r="2513" spans="6:10" ht="12.75">
      <c r="F2513" s="17"/>
      <c r="G2513" s="19"/>
      <c r="H2513" s="23"/>
      <c r="I2513" s="4"/>
      <c r="J2513" s="14"/>
    </row>
    <row r="2514" spans="6:10" ht="12.75">
      <c r="F2514" s="17"/>
      <c r="G2514" s="19"/>
      <c r="H2514" s="23"/>
      <c r="I2514" s="4"/>
      <c r="J2514" s="14"/>
    </row>
    <row r="2515" spans="6:10" ht="12.75">
      <c r="F2515" s="17"/>
      <c r="G2515" s="19"/>
      <c r="H2515" s="23"/>
      <c r="I2515" s="4"/>
      <c r="J2515" s="14"/>
    </row>
    <row r="2516" spans="6:10" ht="12.75">
      <c r="F2516" s="17"/>
      <c r="G2516" s="19"/>
      <c r="H2516" s="23"/>
      <c r="I2516" s="4"/>
      <c r="J2516" s="14"/>
    </row>
    <row r="2517" spans="6:10" ht="12.75">
      <c r="F2517" s="17"/>
      <c r="G2517" s="19"/>
      <c r="H2517" s="23"/>
      <c r="I2517" s="4"/>
      <c r="J2517" s="14"/>
    </row>
    <row r="2518" spans="6:10" ht="12.75">
      <c r="F2518" s="17"/>
      <c r="G2518" s="19"/>
      <c r="H2518" s="23"/>
      <c r="I2518" s="4"/>
      <c r="J2518" s="14"/>
    </row>
    <row r="2519" spans="6:10" ht="12.75">
      <c r="F2519" s="17"/>
      <c r="G2519" s="19"/>
      <c r="H2519" s="23"/>
      <c r="I2519" s="4"/>
      <c r="J2519" s="14"/>
    </row>
    <row r="2520" spans="6:10" ht="12.75">
      <c r="F2520" s="17"/>
      <c r="G2520" s="19"/>
      <c r="H2520" s="23"/>
      <c r="I2520" s="4"/>
      <c r="J2520" s="14"/>
    </row>
    <row r="2521" spans="6:10" ht="12.75">
      <c r="F2521" s="17"/>
      <c r="G2521" s="19"/>
      <c r="H2521" s="23"/>
      <c r="I2521" s="4"/>
      <c r="J2521" s="14"/>
    </row>
    <row r="2522" spans="6:10" ht="12.75">
      <c r="F2522" s="17"/>
      <c r="G2522" s="19"/>
      <c r="H2522" s="23"/>
      <c r="I2522" s="4"/>
      <c r="J2522" s="14"/>
    </row>
    <row r="2523" spans="6:10" ht="12.75">
      <c r="F2523" s="17"/>
      <c r="G2523" s="19"/>
      <c r="H2523" s="23"/>
      <c r="I2523" s="4"/>
      <c r="J2523" s="14"/>
    </row>
    <row r="2524" spans="6:10" ht="12.75">
      <c r="F2524" s="17"/>
      <c r="G2524" s="19"/>
      <c r="H2524" s="23"/>
      <c r="I2524" s="4"/>
      <c r="J2524" s="14"/>
    </row>
    <row r="2525" spans="6:10" ht="12.75">
      <c r="F2525" s="17"/>
      <c r="G2525" s="19"/>
      <c r="H2525" s="23"/>
      <c r="I2525" s="4"/>
      <c r="J2525" s="14"/>
    </row>
    <row r="2526" spans="6:10" ht="12.75">
      <c r="F2526" s="17"/>
      <c r="G2526" s="19"/>
      <c r="H2526" s="23"/>
      <c r="I2526" s="4"/>
      <c r="J2526" s="14"/>
    </row>
    <row r="2527" spans="6:10" ht="12.75">
      <c r="F2527" s="17"/>
      <c r="G2527" s="19"/>
      <c r="H2527" s="23"/>
      <c r="I2527" s="4"/>
      <c r="J2527" s="14"/>
    </row>
    <row r="2528" spans="6:10" ht="12.75">
      <c r="F2528" s="17"/>
      <c r="G2528" s="19"/>
      <c r="H2528" s="23"/>
      <c r="I2528" s="4"/>
      <c r="J2528" s="14"/>
    </row>
    <row r="2529" spans="6:10" ht="12.75">
      <c r="F2529" s="17"/>
      <c r="G2529" s="19"/>
      <c r="H2529" s="23"/>
      <c r="I2529" s="4"/>
      <c r="J2529" s="14"/>
    </row>
    <row r="2530" spans="6:10" ht="12.75">
      <c r="F2530" s="17"/>
      <c r="G2530" s="19"/>
      <c r="H2530" s="23"/>
      <c r="I2530" s="4"/>
      <c r="J2530" s="14"/>
    </row>
    <row r="2531" spans="6:10" ht="12.75">
      <c r="F2531" s="17"/>
      <c r="G2531" s="19"/>
      <c r="H2531" s="23"/>
      <c r="I2531" s="4"/>
      <c r="J2531" s="14"/>
    </row>
    <row r="2532" spans="6:10" ht="12.75">
      <c r="F2532" s="17"/>
      <c r="G2532" s="19"/>
      <c r="H2532" s="23"/>
      <c r="I2532" s="4"/>
      <c r="J2532" s="14"/>
    </row>
    <row r="2533" spans="6:10" ht="12.75">
      <c r="F2533" s="17"/>
      <c r="G2533" s="19"/>
      <c r="H2533" s="23"/>
      <c r="I2533" s="4"/>
      <c r="J2533" s="14"/>
    </row>
    <row r="2534" spans="6:10" ht="12.75">
      <c r="F2534" s="17"/>
      <c r="G2534" s="19"/>
      <c r="H2534" s="23"/>
      <c r="I2534" s="4"/>
      <c r="J2534" s="14"/>
    </row>
    <row r="2535" spans="6:10" ht="12.75">
      <c r="F2535" s="17"/>
      <c r="G2535" s="19"/>
      <c r="H2535" s="23"/>
      <c r="I2535" s="4"/>
      <c r="J2535" s="14"/>
    </row>
    <row r="2536" spans="6:10" ht="12.75">
      <c r="F2536" s="17"/>
      <c r="G2536" s="19"/>
      <c r="H2536" s="23"/>
      <c r="I2536" s="4"/>
      <c r="J2536" s="14"/>
    </row>
    <row r="2537" spans="6:10" ht="12.75">
      <c r="F2537" s="17"/>
      <c r="G2537" s="19"/>
      <c r="H2537" s="23"/>
      <c r="I2537" s="4"/>
      <c r="J2537" s="14"/>
    </row>
    <row r="2538" spans="6:10" ht="12.75">
      <c r="F2538" s="17"/>
      <c r="G2538" s="19"/>
      <c r="H2538" s="23"/>
      <c r="I2538" s="4"/>
      <c r="J2538" s="14"/>
    </row>
    <row r="2539" spans="6:10" ht="12.75">
      <c r="F2539" s="17"/>
      <c r="G2539" s="19"/>
      <c r="H2539" s="23"/>
      <c r="I2539" s="4"/>
      <c r="J2539" s="14"/>
    </row>
    <row r="2540" spans="6:10" ht="12.75">
      <c r="F2540" s="17"/>
      <c r="G2540" s="19"/>
      <c r="H2540" s="23"/>
      <c r="I2540" s="4"/>
      <c r="J2540" s="14"/>
    </row>
    <row r="2541" spans="6:10" ht="12.75">
      <c r="F2541" s="17"/>
      <c r="G2541" s="19"/>
      <c r="H2541" s="23"/>
      <c r="I2541" s="4"/>
      <c r="J2541" s="14"/>
    </row>
    <row r="2542" spans="6:10" ht="12.75">
      <c r="F2542" s="17"/>
      <c r="G2542" s="19"/>
      <c r="H2542" s="23"/>
      <c r="I2542" s="4"/>
      <c r="J2542" s="14"/>
    </row>
    <row r="2543" spans="6:10" ht="12.75">
      <c r="F2543" s="17"/>
      <c r="G2543" s="19"/>
      <c r="H2543" s="23"/>
      <c r="I2543" s="4"/>
      <c r="J2543" s="14"/>
    </row>
    <row r="2544" spans="6:10" ht="12.75">
      <c r="F2544" s="17"/>
      <c r="G2544" s="19"/>
      <c r="H2544" s="23"/>
      <c r="I2544" s="4"/>
      <c r="J2544" s="14"/>
    </row>
    <row r="2545" spans="6:10" ht="12.75">
      <c r="F2545" s="17"/>
      <c r="G2545" s="19"/>
      <c r="H2545" s="23"/>
      <c r="I2545" s="4"/>
      <c r="J2545" s="14"/>
    </row>
    <row r="2546" spans="6:10" ht="12.75">
      <c r="F2546" s="17"/>
      <c r="G2546" s="19"/>
      <c r="H2546" s="23"/>
      <c r="I2546" s="4"/>
      <c r="J2546" s="14"/>
    </row>
    <row r="2547" spans="6:10" ht="12.75">
      <c r="F2547" s="17"/>
      <c r="G2547" s="19"/>
      <c r="H2547" s="23"/>
      <c r="I2547" s="4"/>
      <c r="J2547" s="14"/>
    </row>
    <row r="2548" spans="6:10" ht="12.75">
      <c r="F2548" s="17"/>
      <c r="G2548" s="19"/>
      <c r="H2548" s="23"/>
      <c r="I2548" s="4"/>
      <c r="J2548" s="14"/>
    </row>
    <row r="2549" spans="6:10" ht="12.75">
      <c r="F2549" s="17"/>
      <c r="G2549" s="19"/>
      <c r="H2549" s="23"/>
      <c r="I2549" s="4"/>
      <c r="J2549" s="14"/>
    </row>
    <row r="2550" spans="6:10" ht="12.75">
      <c r="F2550" s="17"/>
      <c r="G2550" s="19"/>
      <c r="H2550" s="23"/>
      <c r="I2550" s="4"/>
      <c r="J2550" s="14"/>
    </row>
    <row r="2551" spans="6:10" ht="12.75">
      <c r="F2551" s="17"/>
      <c r="G2551" s="19"/>
      <c r="H2551" s="23"/>
      <c r="I2551" s="4"/>
      <c r="J2551" s="14"/>
    </row>
    <row r="2552" spans="6:10" ht="12.75">
      <c r="F2552" s="17"/>
      <c r="G2552" s="19"/>
      <c r="H2552" s="23"/>
      <c r="I2552" s="4"/>
      <c r="J2552" s="14"/>
    </row>
    <row r="2553" spans="6:10" ht="12.75">
      <c r="F2553" s="17"/>
      <c r="G2553" s="19"/>
      <c r="H2553" s="23"/>
      <c r="I2553" s="4"/>
      <c r="J2553" s="14"/>
    </row>
    <row r="2554" spans="6:10" ht="12.75">
      <c r="F2554" s="17"/>
      <c r="G2554" s="19"/>
      <c r="H2554" s="23"/>
      <c r="I2554" s="4"/>
      <c r="J2554" s="14"/>
    </row>
    <row r="2555" spans="6:10" ht="12.75">
      <c r="F2555" s="17"/>
      <c r="G2555" s="19"/>
      <c r="H2555" s="23"/>
      <c r="I2555" s="4"/>
      <c r="J2555" s="14"/>
    </row>
    <row r="2556" spans="6:10" ht="12.75">
      <c r="F2556" s="17"/>
      <c r="G2556" s="19"/>
      <c r="H2556" s="23"/>
      <c r="I2556" s="4"/>
      <c r="J2556" s="14"/>
    </row>
    <row r="2557" spans="6:10" ht="12.75">
      <c r="F2557" s="17"/>
      <c r="G2557" s="19"/>
      <c r="H2557" s="23"/>
      <c r="I2557" s="4"/>
      <c r="J2557" s="14"/>
    </row>
    <row r="2558" spans="6:10" ht="12.75">
      <c r="F2558" s="17"/>
      <c r="G2558" s="19"/>
      <c r="H2558" s="23"/>
      <c r="I2558" s="4"/>
      <c r="J2558" s="14"/>
    </row>
    <row r="2559" spans="6:10" ht="12.75">
      <c r="F2559" s="17"/>
      <c r="G2559" s="19"/>
      <c r="H2559" s="23"/>
      <c r="I2559" s="4"/>
      <c r="J2559" s="14"/>
    </row>
    <row r="2560" spans="6:10" ht="12.75">
      <c r="F2560" s="17"/>
      <c r="G2560" s="19"/>
      <c r="H2560" s="23"/>
      <c r="I2560" s="4"/>
      <c r="J2560" s="14"/>
    </row>
    <row r="2561" spans="6:10" ht="12.75">
      <c r="F2561" s="17"/>
      <c r="G2561" s="19"/>
      <c r="H2561" s="23"/>
      <c r="I2561" s="4"/>
      <c r="J2561" s="14"/>
    </row>
    <row r="2562" spans="6:10" ht="12.75">
      <c r="F2562" s="17"/>
      <c r="G2562" s="19"/>
      <c r="H2562" s="23"/>
      <c r="I2562" s="4"/>
      <c r="J2562" s="14"/>
    </row>
    <row r="2563" spans="6:10" ht="12.75">
      <c r="F2563" s="17"/>
      <c r="G2563" s="19"/>
      <c r="H2563" s="23"/>
      <c r="I2563" s="4"/>
      <c r="J2563" s="14"/>
    </row>
    <row r="2564" spans="6:10" ht="12.75">
      <c r="F2564" s="17"/>
      <c r="G2564" s="19"/>
      <c r="H2564" s="23"/>
      <c r="I2564" s="4"/>
      <c r="J2564" s="14"/>
    </row>
    <row r="2565" spans="6:10" ht="12.75">
      <c r="F2565" s="17"/>
      <c r="G2565" s="19"/>
      <c r="H2565" s="23"/>
      <c r="I2565" s="4"/>
      <c r="J2565" s="14"/>
    </row>
    <row r="2566" spans="6:10" ht="12.75">
      <c r="F2566" s="17"/>
      <c r="G2566" s="19"/>
      <c r="H2566" s="23"/>
      <c r="I2566" s="4"/>
      <c r="J2566" s="14"/>
    </row>
    <row r="2567" spans="6:10" ht="12.75">
      <c r="F2567" s="17"/>
      <c r="G2567" s="19"/>
      <c r="H2567" s="23"/>
      <c r="I2567" s="4"/>
      <c r="J2567" s="14"/>
    </row>
    <row r="2568" spans="6:10" ht="12.75">
      <c r="F2568" s="17"/>
      <c r="G2568" s="19"/>
      <c r="H2568" s="23"/>
      <c r="I2568" s="4"/>
      <c r="J2568" s="14"/>
    </row>
    <row r="2569" spans="6:10" ht="12.75">
      <c r="F2569" s="17"/>
      <c r="G2569" s="19"/>
      <c r="H2569" s="23"/>
      <c r="I2569" s="4"/>
      <c r="J2569" s="14"/>
    </row>
    <row r="2570" spans="6:10" ht="12.75">
      <c r="F2570" s="17"/>
      <c r="G2570" s="19"/>
      <c r="H2570" s="23"/>
      <c r="I2570" s="4"/>
      <c r="J2570" s="14"/>
    </row>
    <row r="2571" spans="6:10" ht="12.75">
      <c r="F2571" s="17"/>
      <c r="G2571" s="19"/>
      <c r="H2571" s="23"/>
      <c r="I2571" s="4"/>
      <c r="J2571" s="14"/>
    </row>
    <row r="2572" spans="6:10" ht="12.75">
      <c r="F2572" s="17"/>
      <c r="G2572" s="19"/>
      <c r="H2572" s="23"/>
      <c r="I2572" s="4"/>
      <c r="J2572" s="14"/>
    </row>
    <row r="2573" spans="6:10" ht="12.75">
      <c r="F2573" s="17"/>
      <c r="G2573" s="19"/>
      <c r="H2573" s="23"/>
      <c r="I2573" s="4"/>
      <c r="J2573" s="14"/>
    </row>
    <row r="2574" spans="6:10" ht="12.75">
      <c r="F2574" s="17"/>
      <c r="G2574" s="19"/>
      <c r="H2574" s="23"/>
      <c r="I2574" s="4"/>
      <c r="J2574" s="14"/>
    </row>
    <row r="2575" spans="6:10" ht="12.75">
      <c r="F2575" s="17"/>
      <c r="G2575" s="19"/>
      <c r="H2575" s="23"/>
      <c r="I2575" s="4"/>
      <c r="J2575" s="14"/>
    </row>
    <row r="2576" spans="6:10" ht="12.75">
      <c r="F2576" s="17"/>
      <c r="G2576" s="19"/>
      <c r="H2576" s="23"/>
      <c r="I2576" s="4"/>
      <c r="J2576" s="14"/>
    </row>
    <row r="2577" spans="6:10" ht="12.75">
      <c r="F2577" s="17"/>
      <c r="G2577" s="19"/>
      <c r="H2577" s="23"/>
      <c r="I2577" s="4"/>
      <c r="J2577" s="14"/>
    </row>
    <row r="2578" spans="6:10" ht="12.75">
      <c r="F2578" s="17"/>
      <c r="G2578" s="19"/>
      <c r="H2578" s="23"/>
      <c r="I2578" s="4"/>
      <c r="J2578" s="14"/>
    </row>
    <row r="2579" spans="6:10" ht="12.75">
      <c r="F2579" s="17"/>
      <c r="G2579" s="19"/>
      <c r="H2579" s="23"/>
      <c r="I2579" s="4"/>
      <c r="J2579" s="14"/>
    </row>
    <row r="2580" spans="6:10" ht="12.75">
      <c r="F2580" s="17"/>
      <c r="G2580" s="19"/>
      <c r="H2580" s="23"/>
      <c r="I2580" s="4"/>
      <c r="J2580" s="14"/>
    </row>
    <row r="2581" spans="6:10" ht="12.75">
      <c r="F2581" s="17"/>
      <c r="G2581" s="19"/>
      <c r="H2581" s="23"/>
      <c r="I2581" s="4"/>
      <c r="J2581" s="14"/>
    </row>
    <row r="2582" spans="6:10" ht="12.75">
      <c r="F2582" s="17"/>
      <c r="G2582" s="19"/>
      <c r="H2582" s="23"/>
      <c r="I2582" s="4"/>
      <c r="J2582" s="14"/>
    </row>
    <row r="2583" spans="6:10" ht="12.75">
      <c r="F2583" s="17"/>
      <c r="G2583" s="19"/>
      <c r="H2583" s="23"/>
      <c r="I2583" s="4"/>
      <c r="J2583" s="14"/>
    </row>
    <row r="2584" spans="6:10" ht="12.75">
      <c r="F2584" s="17"/>
      <c r="G2584" s="19"/>
      <c r="H2584" s="23"/>
      <c r="I2584" s="4"/>
      <c r="J2584" s="14"/>
    </row>
    <row r="2585" spans="6:10" ht="12.75">
      <c r="F2585" s="17"/>
      <c r="G2585" s="19"/>
      <c r="H2585" s="23"/>
      <c r="I2585" s="4"/>
      <c r="J2585" s="14"/>
    </row>
    <row r="2586" spans="6:10" ht="12.75">
      <c r="F2586" s="17"/>
      <c r="G2586" s="19"/>
      <c r="H2586" s="23"/>
      <c r="I2586" s="4"/>
      <c r="J2586" s="14"/>
    </row>
    <row r="2587" spans="6:10" ht="12.75">
      <c r="F2587" s="17"/>
      <c r="G2587" s="19"/>
      <c r="H2587" s="23"/>
      <c r="I2587" s="4"/>
      <c r="J2587" s="14"/>
    </row>
    <row r="2588" spans="6:10" ht="12.75">
      <c r="F2588" s="17"/>
      <c r="G2588" s="19"/>
      <c r="H2588" s="23"/>
      <c r="I2588" s="4"/>
      <c r="J2588" s="14"/>
    </row>
    <row r="2589" spans="6:10" ht="12.75">
      <c r="F2589" s="17"/>
      <c r="G2589" s="19"/>
      <c r="H2589" s="23"/>
      <c r="I2589" s="4"/>
      <c r="J2589" s="14"/>
    </row>
    <row r="2590" spans="6:10" ht="12.75">
      <c r="F2590" s="17"/>
      <c r="G2590" s="19"/>
      <c r="H2590" s="23"/>
      <c r="I2590" s="4"/>
      <c r="J2590" s="14"/>
    </row>
    <row r="2591" spans="6:10" ht="12.75">
      <c r="F2591" s="17"/>
      <c r="G2591" s="19"/>
      <c r="H2591" s="23"/>
      <c r="I2591" s="4"/>
      <c r="J2591" s="14"/>
    </row>
    <row r="2592" spans="6:10" ht="12.75">
      <c r="F2592" s="17"/>
      <c r="G2592" s="19"/>
      <c r="H2592" s="23"/>
      <c r="I2592" s="4"/>
      <c r="J2592" s="14"/>
    </row>
    <row r="2593" spans="6:10" ht="12.75">
      <c r="F2593" s="17"/>
      <c r="G2593" s="19"/>
      <c r="H2593" s="23"/>
      <c r="I2593" s="4"/>
      <c r="J2593" s="14"/>
    </row>
    <row r="2594" spans="6:10" ht="12.75">
      <c r="F2594" s="17"/>
      <c r="G2594" s="19"/>
      <c r="H2594" s="23"/>
      <c r="I2594" s="4"/>
      <c r="J2594" s="14"/>
    </row>
    <row r="2595" spans="6:10" ht="12.75">
      <c r="F2595" s="17"/>
      <c r="G2595" s="19"/>
      <c r="H2595" s="23"/>
      <c r="I2595" s="4"/>
      <c r="J2595" s="14"/>
    </row>
    <row r="2596" spans="6:10" ht="12.75">
      <c r="F2596" s="17"/>
      <c r="G2596" s="19"/>
      <c r="H2596" s="23"/>
      <c r="I2596" s="4"/>
      <c r="J2596" s="14"/>
    </row>
    <row r="2597" spans="6:10" ht="12.75">
      <c r="F2597" s="17"/>
      <c r="G2597" s="19"/>
      <c r="H2597" s="23"/>
      <c r="I2597" s="4"/>
      <c r="J2597" s="14"/>
    </row>
    <row r="2598" spans="6:10" ht="12.75">
      <c r="F2598" s="17"/>
      <c r="G2598" s="19"/>
      <c r="H2598" s="23"/>
      <c r="I2598" s="4"/>
      <c r="J2598" s="14"/>
    </row>
    <row r="2599" spans="6:10" ht="12.75">
      <c r="F2599" s="17"/>
      <c r="G2599" s="19"/>
      <c r="H2599" s="23"/>
      <c r="I2599" s="4"/>
      <c r="J2599" s="14"/>
    </row>
    <row r="2600" spans="6:10" ht="12.75">
      <c r="F2600" s="17"/>
      <c r="G2600" s="19"/>
      <c r="H2600" s="23"/>
      <c r="I2600" s="4"/>
      <c r="J2600" s="14"/>
    </row>
    <row r="2601" spans="6:10" ht="12.75">
      <c r="F2601" s="17"/>
      <c r="G2601" s="19"/>
      <c r="H2601" s="23"/>
      <c r="I2601" s="4"/>
      <c r="J2601" s="14"/>
    </row>
    <row r="2602" spans="6:10" ht="12.75">
      <c r="F2602" s="17"/>
      <c r="G2602" s="19"/>
      <c r="H2602" s="23"/>
      <c r="I2602" s="4"/>
      <c r="J2602" s="14"/>
    </row>
    <row r="2603" spans="6:10" ht="12.75">
      <c r="F2603" s="17"/>
      <c r="G2603" s="19"/>
      <c r="H2603" s="23"/>
      <c r="I2603" s="4"/>
      <c r="J2603" s="14"/>
    </row>
    <row r="2604" spans="6:10" ht="12.75">
      <c r="F2604" s="17"/>
      <c r="G2604" s="19"/>
      <c r="H2604" s="23"/>
      <c r="I2604" s="4"/>
      <c r="J2604" s="14"/>
    </row>
    <row r="2605" spans="6:10" ht="12.75">
      <c r="F2605" s="17"/>
      <c r="G2605" s="19"/>
      <c r="H2605" s="23"/>
      <c r="I2605" s="4"/>
      <c r="J2605" s="14"/>
    </row>
    <row r="2606" spans="6:10" ht="12.75">
      <c r="F2606" s="17"/>
      <c r="G2606" s="19"/>
      <c r="H2606" s="23"/>
      <c r="I2606" s="4"/>
      <c r="J2606" s="14"/>
    </row>
    <row r="2607" spans="6:10" ht="12.75">
      <c r="F2607" s="17"/>
      <c r="G2607" s="19"/>
      <c r="H2607" s="23"/>
      <c r="I2607" s="4"/>
      <c r="J2607" s="14"/>
    </row>
    <row r="2608" spans="6:10" ht="12.75">
      <c r="F2608" s="17"/>
      <c r="G2608" s="19"/>
      <c r="H2608" s="23"/>
      <c r="I2608" s="4"/>
      <c r="J2608" s="14"/>
    </row>
    <row r="2609" spans="6:10" ht="12.75">
      <c r="F2609" s="17"/>
      <c r="G2609" s="19"/>
      <c r="H2609" s="23"/>
      <c r="I2609" s="4"/>
      <c r="J2609" s="14"/>
    </row>
    <row r="2610" spans="6:10" ht="12.75">
      <c r="F2610" s="17"/>
      <c r="G2610" s="19"/>
      <c r="H2610" s="23"/>
      <c r="I2610" s="4"/>
      <c r="J2610" s="14"/>
    </row>
    <row r="2611" spans="6:10" ht="12.75">
      <c r="F2611" s="17"/>
      <c r="G2611" s="19"/>
      <c r="H2611" s="23"/>
      <c r="I2611" s="4"/>
      <c r="J2611" s="14"/>
    </row>
    <row r="2612" spans="6:10" ht="12.75">
      <c r="F2612" s="17"/>
      <c r="G2612" s="19"/>
      <c r="H2612" s="23"/>
      <c r="I2612" s="4"/>
      <c r="J2612" s="14"/>
    </row>
    <row r="2613" spans="6:10" ht="12.75">
      <c r="F2613" s="17"/>
      <c r="G2613" s="19"/>
      <c r="H2613" s="23"/>
      <c r="I2613" s="4"/>
      <c r="J2613" s="14"/>
    </row>
    <row r="2614" spans="6:10" ht="12.75">
      <c r="F2614" s="17"/>
      <c r="G2614" s="19"/>
      <c r="H2614" s="23"/>
      <c r="I2614" s="4"/>
      <c r="J2614" s="14"/>
    </row>
    <row r="2615" spans="6:10" ht="12.75">
      <c r="F2615" s="17"/>
      <c r="G2615" s="19"/>
      <c r="H2615" s="23"/>
      <c r="I2615" s="4"/>
      <c r="J2615" s="14"/>
    </row>
    <row r="2616" spans="6:10" ht="12.75">
      <c r="F2616" s="17"/>
      <c r="G2616" s="19"/>
      <c r="H2616" s="23"/>
      <c r="I2616" s="4"/>
      <c r="J2616" s="14"/>
    </row>
    <row r="2617" spans="6:10" ht="12.75">
      <c r="F2617" s="17"/>
      <c r="G2617" s="19"/>
      <c r="H2617" s="23"/>
      <c r="I2617" s="4"/>
      <c r="J2617" s="14"/>
    </row>
    <row r="2618" spans="6:10" ht="12.75">
      <c r="F2618" s="17"/>
      <c r="G2618" s="19"/>
      <c r="H2618" s="23"/>
      <c r="I2618" s="4"/>
      <c r="J2618" s="14"/>
    </row>
    <row r="2619" spans="6:10" ht="12.75">
      <c r="F2619" s="17"/>
      <c r="G2619" s="19"/>
      <c r="H2619" s="23"/>
      <c r="I2619" s="4"/>
      <c r="J2619" s="14"/>
    </row>
    <row r="2620" spans="6:10" ht="12.75">
      <c r="F2620" s="17"/>
      <c r="G2620" s="19"/>
      <c r="H2620" s="23"/>
      <c r="I2620" s="4"/>
      <c r="J2620" s="14"/>
    </row>
    <row r="2621" spans="6:10" ht="12.75">
      <c r="F2621" s="17"/>
      <c r="G2621" s="19"/>
      <c r="H2621" s="23"/>
      <c r="I2621" s="4"/>
      <c r="J2621" s="14"/>
    </row>
    <row r="2622" spans="6:10" ht="12.75">
      <c r="F2622" s="17"/>
      <c r="G2622" s="19"/>
      <c r="H2622" s="23"/>
      <c r="I2622" s="4"/>
      <c r="J2622" s="14"/>
    </row>
    <row r="2623" spans="6:10" ht="12.75">
      <c r="F2623" s="17"/>
      <c r="G2623" s="19"/>
      <c r="H2623" s="23"/>
      <c r="I2623" s="4"/>
      <c r="J2623" s="14"/>
    </row>
    <row r="2624" spans="6:10" ht="12.75">
      <c r="F2624" s="17"/>
      <c r="G2624" s="19"/>
      <c r="H2624" s="23"/>
      <c r="I2624" s="4"/>
      <c r="J2624" s="14"/>
    </row>
    <row r="2625" spans="6:10" ht="12.75">
      <c r="F2625" s="17"/>
      <c r="G2625" s="19"/>
      <c r="H2625" s="23"/>
      <c r="I2625" s="4"/>
      <c r="J2625" s="14"/>
    </row>
    <row r="2626" spans="6:10" ht="12.75">
      <c r="F2626" s="17"/>
      <c r="G2626" s="19"/>
      <c r="H2626" s="23"/>
      <c r="I2626" s="4"/>
      <c r="J2626" s="14"/>
    </row>
    <row r="2627" spans="6:10" ht="12.75">
      <c r="F2627" s="17"/>
      <c r="G2627" s="19"/>
      <c r="H2627" s="23"/>
      <c r="I2627" s="4"/>
      <c r="J2627" s="14"/>
    </row>
    <row r="2628" spans="6:10" ht="12.75">
      <c r="F2628" s="17"/>
      <c r="G2628" s="19"/>
      <c r="H2628" s="23"/>
      <c r="I2628" s="4"/>
      <c r="J2628" s="14"/>
    </row>
    <row r="2629" spans="6:10" ht="12.75">
      <c r="F2629" s="17"/>
      <c r="G2629" s="19"/>
      <c r="H2629" s="23"/>
      <c r="I2629" s="4"/>
      <c r="J2629" s="14"/>
    </row>
    <row r="2630" spans="6:10" ht="12.75">
      <c r="F2630" s="17"/>
      <c r="G2630" s="19"/>
      <c r="H2630" s="23"/>
      <c r="I2630" s="4"/>
      <c r="J2630" s="14"/>
    </row>
    <row r="2631" spans="6:10" ht="12.75">
      <c r="F2631" s="17"/>
      <c r="G2631" s="19"/>
      <c r="H2631" s="23"/>
      <c r="I2631" s="4"/>
      <c r="J2631" s="14"/>
    </row>
    <row r="2632" spans="6:10" ht="12.75">
      <c r="F2632" s="17"/>
      <c r="G2632" s="19"/>
      <c r="H2632" s="23"/>
      <c r="I2632" s="4"/>
      <c r="J2632" s="14"/>
    </row>
    <row r="2633" spans="6:10" ht="12.75">
      <c r="F2633" s="17"/>
      <c r="G2633" s="19"/>
      <c r="H2633" s="23"/>
      <c r="I2633" s="4"/>
      <c r="J2633" s="14"/>
    </row>
    <row r="2634" spans="6:10" ht="12.75">
      <c r="F2634" s="17"/>
      <c r="G2634" s="19"/>
      <c r="H2634" s="23"/>
      <c r="I2634" s="4"/>
      <c r="J2634" s="14"/>
    </row>
    <row r="2635" spans="6:10" ht="12.75">
      <c r="F2635" s="17"/>
      <c r="G2635" s="19"/>
      <c r="H2635" s="23"/>
      <c r="I2635" s="4"/>
      <c r="J2635" s="14"/>
    </row>
    <row r="2636" spans="6:10" ht="12.75">
      <c r="F2636" s="17"/>
      <c r="G2636" s="19"/>
      <c r="H2636" s="23"/>
      <c r="I2636" s="4"/>
      <c r="J2636" s="14"/>
    </row>
    <row r="2637" spans="6:10" ht="12.75">
      <c r="F2637" s="17"/>
      <c r="G2637" s="19"/>
      <c r="H2637" s="23"/>
      <c r="I2637" s="4"/>
      <c r="J2637" s="14"/>
    </row>
    <row r="2638" spans="6:10" ht="12.75">
      <c r="F2638" s="17"/>
      <c r="G2638" s="19"/>
      <c r="H2638" s="23"/>
      <c r="I2638" s="4"/>
      <c r="J2638" s="14"/>
    </row>
    <row r="2639" spans="6:10" ht="12.75">
      <c r="F2639" s="17"/>
      <c r="G2639" s="19"/>
      <c r="H2639" s="23"/>
      <c r="I2639" s="4"/>
      <c r="J2639" s="14"/>
    </row>
    <row r="2640" spans="6:10" ht="12.75">
      <c r="F2640" s="17"/>
      <c r="G2640" s="19"/>
      <c r="H2640" s="23"/>
      <c r="I2640" s="4"/>
      <c r="J2640" s="14"/>
    </row>
    <row r="2641" spans="6:10" ht="12.75">
      <c r="F2641" s="17"/>
      <c r="G2641" s="19"/>
      <c r="H2641" s="23"/>
      <c r="I2641" s="4"/>
      <c r="J2641" s="14"/>
    </row>
    <row r="2642" spans="6:10" ht="12.75">
      <c r="F2642" s="17"/>
      <c r="G2642" s="19"/>
      <c r="H2642" s="23"/>
      <c r="I2642" s="4"/>
      <c r="J2642" s="14"/>
    </row>
    <row r="2643" spans="6:10" ht="12.75">
      <c r="F2643" s="17"/>
      <c r="G2643" s="19"/>
      <c r="H2643" s="23"/>
      <c r="I2643" s="4"/>
      <c r="J2643" s="14"/>
    </row>
    <row r="2644" spans="6:10" ht="12.75">
      <c r="F2644" s="17"/>
      <c r="G2644" s="19"/>
      <c r="H2644" s="23"/>
      <c r="I2644" s="4"/>
      <c r="J2644" s="14"/>
    </row>
    <row r="2645" spans="6:10" ht="12.75">
      <c r="F2645" s="17"/>
      <c r="G2645" s="19"/>
      <c r="H2645" s="23"/>
      <c r="I2645" s="4"/>
      <c r="J2645" s="14"/>
    </row>
    <row r="2646" spans="6:10" ht="12.75">
      <c r="F2646" s="17"/>
      <c r="G2646" s="19"/>
      <c r="H2646" s="23"/>
      <c r="I2646" s="4"/>
      <c r="J2646" s="14"/>
    </row>
    <row r="2647" spans="6:10" ht="12.75">
      <c r="F2647" s="17"/>
      <c r="G2647" s="19"/>
      <c r="H2647" s="23"/>
      <c r="I2647" s="4"/>
      <c r="J2647" s="14"/>
    </row>
    <row r="2648" spans="6:10" ht="12.75">
      <c r="F2648" s="17"/>
      <c r="G2648" s="19"/>
      <c r="H2648" s="23"/>
      <c r="I2648" s="4"/>
      <c r="J2648" s="14"/>
    </row>
    <row r="2649" spans="6:10" ht="12.75">
      <c r="F2649" s="17"/>
      <c r="G2649" s="19"/>
      <c r="H2649" s="23"/>
      <c r="I2649" s="4"/>
      <c r="J2649" s="14"/>
    </row>
    <row r="2650" spans="6:10" ht="12.75">
      <c r="F2650" s="17"/>
      <c r="G2650" s="19"/>
      <c r="H2650" s="23"/>
      <c r="I2650" s="4"/>
      <c r="J2650" s="14"/>
    </row>
    <row r="2651" spans="6:10" ht="12.75">
      <c r="F2651" s="17"/>
      <c r="G2651" s="19"/>
      <c r="H2651" s="23"/>
      <c r="I2651" s="4"/>
      <c r="J2651" s="14"/>
    </row>
    <row r="2652" spans="6:10" ht="12.75">
      <c r="F2652" s="17"/>
      <c r="G2652" s="19"/>
      <c r="H2652" s="23"/>
      <c r="I2652" s="4"/>
      <c r="J2652" s="14"/>
    </row>
    <row r="2653" spans="6:10" ht="12.75">
      <c r="F2653" s="17"/>
      <c r="G2653" s="19"/>
      <c r="H2653" s="23"/>
      <c r="I2653" s="4"/>
      <c r="J2653" s="14"/>
    </row>
    <row r="2654" spans="6:10" ht="12.75">
      <c r="F2654" s="17"/>
      <c r="G2654" s="19"/>
      <c r="H2654" s="23"/>
      <c r="I2654" s="4"/>
      <c r="J2654" s="14"/>
    </row>
    <row r="2655" spans="6:10" ht="12.75">
      <c r="F2655" s="17"/>
      <c r="G2655" s="19"/>
      <c r="H2655" s="23"/>
      <c r="I2655" s="4"/>
      <c r="J2655" s="14"/>
    </row>
    <row r="2656" spans="6:10" ht="12.75">
      <c r="F2656" s="17"/>
      <c r="G2656" s="19"/>
      <c r="H2656" s="23"/>
      <c r="I2656" s="4"/>
      <c r="J2656" s="14"/>
    </row>
    <row r="2657" spans="6:10" ht="12.75">
      <c r="F2657" s="17"/>
      <c r="G2657" s="19"/>
      <c r="H2657" s="23"/>
      <c r="I2657" s="4"/>
      <c r="J2657" s="14"/>
    </row>
    <row r="2658" spans="6:10" ht="12.75">
      <c r="F2658" s="17"/>
      <c r="G2658" s="19"/>
      <c r="H2658" s="23"/>
      <c r="I2658" s="4"/>
      <c r="J2658" s="14"/>
    </row>
    <row r="2659" spans="6:10" ht="12.75">
      <c r="F2659" s="17"/>
      <c r="G2659" s="19"/>
      <c r="H2659" s="23"/>
      <c r="I2659" s="4"/>
      <c r="J2659" s="14"/>
    </row>
    <row r="2660" spans="6:10" ht="12.75">
      <c r="F2660" s="17"/>
      <c r="G2660" s="19"/>
      <c r="H2660" s="23"/>
      <c r="I2660" s="4"/>
      <c r="J2660" s="14"/>
    </row>
    <row r="2661" spans="6:10" ht="12.75">
      <c r="F2661" s="17"/>
      <c r="G2661" s="19"/>
      <c r="H2661" s="23"/>
      <c r="I2661" s="4"/>
      <c r="J2661" s="14"/>
    </row>
    <row r="2662" spans="6:10" ht="12.75">
      <c r="F2662" s="17"/>
      <c r="G2662" s="19"/>
      <c r="H2662" s="23"/>
      <c r="I2662" s="4"/>
      <c r="J2662" s="14"/>
    </row>
    <row r="2663" spans="6:10" ht="12.75">
      <c r="F2663" s="17"/>
      <c r="G2663" s="19"/>
      <c r="H2663" s="23"/>
      <c r="I2663" s="4"/>
      <c r="J2663" s="14"/>
    </row>
    <row r="2664" spans="6:10" ht="12.75">
      <c r="F2664" s="17"/>
      <c r="G2664" s="19"/>
      <c r="H2664" s="23"/>
      <c r="I2664" s="4"/>
      <c r="J2664" s="14"/>
    </row>
    <row r="2665" spans="6:10" ht="12.75">
      <c r="F2665" s="17"/>
      <c r="G2665" s="19"/>
      <c r="H2665" s="23"/>
      <c r="I2665" s="4"/>
      <c r="J2665" s="14"/>
    </row>
    <row r="2666" spans="6:10" ht="12.75">
      <c r="F2666" s="17"/>
      <c r="G2666" s="19"/>
      <c r="H2666" s="23"/>
      <c r="I2666" s="4"/>
      <c r="J2666" s="14"/>
    </row>
    <row r="2667" spans="6:10" ht="12.75">
      <c r="F2667" s="17"/>
      <c r="G2667" s="19"/>
      <c r="H2667" s="23"/>
      <c r="I2667" s="4"/>
      <c r="J2667" s="14"/>
    </row>
    <row r="2668" spans="6:10" ht="12.75">
      <c r="F2668" s="17"/>
      <c r="G2668" s="19"/>
      <c r="H2668" s="23"/>
      <c r="I2668" s="4"/>
      <c r="J2668" s="14"/>
    </row>
    <row r="2669" spans="6:10" ht="12.75">
      <c r="F2669" s="17"/>
      <c r="G2669" s="19"/>
      <c r="H2669" s="23"/>
      <c r="I2669" s="4"/>
      <c r="J2669" s="14"/>
    </row>
    <row r="2670" spans="6:10" ht="12.75">
      <c r="F2670" s="17"/>
      <c r="G2670" s="19"/>
      <c r="H2670" s="23"/>
      <c r="I2670" s="4"/>
      <c r="J2670" s="14"/>
    </row>
    <row r="2671" spans="6:10" ht="12.75">
      <c r="F2671" s="17"/>
      <c r="G2671" s="19"/>
      <c r="H2671" s="23"/>
      <c r="I2671" s="4"/>
      <c r="J2671" s="14"/>
    </row>
    <row r="2672" spans="6:10" ht="12.75">
      <c r="F2672" s="17"/>
      <c r="G2672" s="19"/>
      <c r="H2672" s="23"/>
      <c r="I2672" s="4"/>
      <c r="J2672" s="14"/>
    </row>
    <row r="2673" spans="6:10" ht="12.75">
      <c r="F2673" s="17"/>
      <c r="G2673" s="19"/>
      <c r="H2673" s="23"/>
      <c r="I2673" s="4"/>
      <c r="J2673" s="14"/>
    </row>
    <row r="2674" spans="6:10" ht="12.75">
      <c r="F2674" s="17"/>
      <c r="G2674" s="19"/>
      <c r="H2674" s="23"/>
      <c r="I2674" s="4"/>
      <c r="J2674" s="14"/>
    </row>
    <row r="2675" spans="6:10" ht="12.75">
      <c r="F2675" s="17"/>
      <c r="G2675" s="19"/>
      <c r="H2675" s="23"/>
      <c r="I2675" s="4"/>
      <c r="J2675" s="14"/>
    </row>
    <row r="2676" spans="6:10" ht="12.75">
      <c r="F2676" s="17"/>
      <c r="G2676" s="19"/>
      <c r="H2676" s="23"/>
      <c r="I2676" s="4"/>
      <c r="J2676" s="14"/>
    </row>
    <row r="2677" spans="6:10" ht="12.75">
      <c r="F2677" s="17"/>
      <c r="G2677" s="19"/>
      <c r="H2677" s="23"/>
      <c r="I2677" s="4"/>
      <c r="J2677" s="14"/>
    </row>
    <row r="2678" spans="6:10" ht="12.75">
      <c r="F2678" s="17"/>
      <c r="G2678" s="19"/>
      <c r="H2678" s="23"/>
      <c r="I2678" s="4"/>
      <c r="J2678" s="14"/>
    </row>
    <row r="2679" spans="6:10" ht="12.75">
      <c r="F2679" s="17"/>
      <c r="G2679" s="19"/>
      <c r="H2679" s="23"/>
      <c r="I2679" s="4"/>
      <c r="J2679" s="14"/>
    </row>
    <row r="2680" spans="6:10" ht="12.75">
      <c r="F2680" s="17"/>
      <c r="G2680" s="19"/>
      <c r="H2680" s="23"/>
      <c r="I2680" s="4"/>
      <c r="J2680" s="14"/>
    </row>
    <row r="2681" spans="6:10" ht="12.75">
      <c r="F2681" s="17"/>
      <c r="G2681" s="19"/>
      <c r="H2681" s="23"/>
      <c r="I2681" s="4"/>
      <c r="J2681" s="14"/>
    </row>
    <row r="2682" spans="6:10" ht="12.75">
      <c r="F2682" s="17"/>
      <c r="G2682" s="19"/>
      <c r="H2682" s="23"/>
      <c r="I2682" s="4"/>
      <c r="J2682" s="14"/>
    </row>
    <row r="2683" spans="6:10" ht="12.75">
      <c r="F2683" s="17"/>
      <c r="G2683" s="19"/>
      <c r="H2683" s="23"/>
      <c r="I2683" s="4"/>
      <c r="J2683" s="14"/>
    </row>
    <row r="2684" spans="6:10" ht="12.75">
      <c r="F2684" s="17"/>
      <c r="G2684" s="19"/>
      <c r="H2684" s="23"/>
      <c r="I2684" s="4"/>
      <c r="J2684" s="14"/>
    </row>
    <row r="2685" spans="6:10" ht="12.75">
      <c r="F2685" s="17"/>
      <c r="G2685" s="19"/>
      <c r="H2685" s="23"/>
      <c r="I2685" s="4"/>
      <c r="J2685" s="14"/>
    </row>
    <row r="2686" spans="6:10" ht="12.75">
      <c r="F2686" s="17"/>
      <c r="G2686" s="19"/>
      <c r="H2686" s="23"/>
      <c r="I2686" s="4"/>
      <c r="J2686" s="14"/>
    </row>
    <row r="2687" spans="6:10" ht="12.75">
      <c r="F2687" s="17"/>
      <c r="G2687" s="19"/>
      <c r="H2687" s="23"/>
      <c r="I2687" s="4"/>
      <c r="J2687" s="14"/>
    </row>
    <row r="2688" spans="6:10" ht="12.75">
      <c r="F2688" s="17"/>
      <c r="G2688" s="19"/>
      <c r="H2688" s="23"/>
      <c r="I2688" s="4"/>
      <c r="J2688" s="14"/>
    </row>
    <row r="2689" spans="6:10" ht="12.75">
      <c r="F2689" s="17"/>
      <c r="G2689" s="19"/>
      <c r="H2689" s="23"/>
      <c r="I2689" s="4"/>
      <c r="J2689" s="14"/>
    </row>
    <row r="2690" spans="6:10" ht="12.75">
      <c r="F2690" s="17"/>
      <c r="G2690" s="19"/>
      <c r="H2690" s="23"/>
      <c r="I2690" s="4"/>
      <c r="J2690" s="14"/>
    </row>
    <row r="2691" spans="6:10" ht="12.75">
      <c r="F2691" s="17"/>
      <c r="G2691" s="19"/>
      <c r="H2691" s="23"/>
      <c r="I2691" s="4"/>
      <c r="J2691" s="14"/>
    </row>
    <row r="2692" spans="6:10" ht="12.75">
      <c r="F2692" s="17"/>
      <c r="G2692" s="19"/>
      <c r="H2692" s="23"/>
      <c r="I2692" s="4"/>
      <c r="J2692" s="14"/>
    </row>
    <row r="2693" spans="6:10" ht="12.75">
      <c r="F2693" s="17"/>
      <c r="G2693" s="19"/>
      <c r="H2693" s="23"/>
      <c r="I2693" s="4"/>
      <c r="J2693" s="14"/>
    </row>
    <row r="2694" spans="6:10" ht="12.75">
      <c r="F2694" s="17"/>
      <c r="G2694" s="19"/>
      <c r="H2694" s="23"/>
      <c r="I2694" s="4"/>
      <c r="J2694" s="14"/>
    </row>
    <row r="2695" spans="6:10" ht="12.75">
      <c r="F2695" s="17"/>
      <c r="G2695" s="19"/>
      <c r="H2695" s="23"/>
      <c r="I2695" s="4"/>
      <c r="J2695" s="14"/>
    </row>
    <row r="2696" spans="6:10" ht="12.75">
      <c r="F2696" s="17"/>
      <c r="G2696" s="19"/>
      <c r="H2696" s="23"/>
      <c r="I2696" s="4"/>
      <c r="J2696" s="14"/>
    </row>
    <row r="2697" spans="6:10" ht="12.75">
      <c r="F2697" s="17"/>
      <c r="G2697" s="19"/>
      <c r="H2697" s="23"/>
      <c r="I2697" s="4"/>
      <c r="J2697" s="14"/>
    </row>
    <row r="2698" spans="6:10" ht="12.75">
      <c r="F2698" s="17"/>
      <c r="G2698" s="19"/>
      <c r="H2698" s="23"/>
      <c r="I2698" s="4"/>
      <c r="J2698" s="14"/>
    </row>
    <row r="2699" spans="6:10" ht="12.75">
      <c r="F2699" s="17"/>
      <c r="G2699" s="19"/>
      <c r="H2699" s="23"/>
      <c r="I2699" s="4"/>
      <c r="J2699" s="14"/>
    </row>
    <row r="2700" spans="6:10" ht="12.75">
      <c r="F2700" s="17"/>
      <c r="G2700" s="19"/>
      <c r="H2700" s="23"/>
      <c r="I2700" s="4"/>
      <c r="J2700" s="14"/>
    </row>
    <row r="2701" spans="6:10" ht="12.75">
      <c r="F2701" s="17"/>
      <c r="G2701" s="19"/>
      <c r="H2701" s="23"/>
      <c r="I2701" s="4"/>
      <c r="J2701" s="14"/>
    </row>
    <row r="2702" spans="6:10" ht="12.75">
      <c r="F2702" s="17"/>
      <c r="G2702" s="19"/>
      <c r="H2702" s="23"/>
      <c r="I2702" s="4"/>
      <c r="J2702" s="14"/>
    </row>
    <row r="2703" spans="6:10" ht="12.75">
      <c r="F2703" s="17"/>
      <c r="G2703" s="19"/>
      <c r="H2703" s="23"/>
      <c r="I2703" s="4"/>
      <c r="J2703" s="14"/>
    </row>
    <row r="2704" spans="6:10" ht="12.75">
      <c r="F2704" s="17"/>
      <c r="G2704" s="19"/>
      <c r="H2704" s="23"/>
      <c r="I2704" s="4"/>
      <c r="J2704" s="14"/>
    </row>
    <row r="2705" spans="6:10" ht="12.75">
      <c r="F2705" s="17"/>
      <c r="G2705" s="19"/>
      <c r="H2705" s="23"/>
      <c r="I2705" s="4"/>
      <c r="J2705" s="14"/>
    </row>
    <row r="2706" spans="6:10" ht="12.75">
      <c r="F2706" s="17"/>
      <c r="G2706" s="19"/>
      <c r="H2706" s="23"/>
      <c r="I2706" s="4"/>
      <c r="J2706" s="14"/>
    </row>
    <row r="2707" spans="6:10" ht="12.75">
      <c r="F2707" s="17"/>
      <c r="G2707" s="19"/>
      <c r="H2707" s="23"/>
      <c r="I2707" s="4"/>
      <c r="J2707" s="14"/>
    </row>
    <row r="2708" spans="6:10" ht="12.75">
      <c r="F2708" s="17"/>
      <c r="G2708" s="19"/>
      <c r="H2708" s="23"/>
      <c r="I2708" s="4"/>
      <c r="J2708" s="14"/>
    </row>
    <row r="2709" spans="6:10" ht="12.75">
      <c r="F2709" s="17"/>
      <c r="G2709" s="19"/>
      <c r="H2709" s="23"/>
      <c r="I2709" s="4"/>
      <c r="J2709" s="14"/>
    </row>
    <row r="2710" spans="6:10" ht="12.75">
      <c r="F2710" s="17"/>
      <c r="G2710" s="19"/>
      <c r="H2710" s="23"/>
      <c r="I2710" s="4"/>
      <c r="J2710" s="14"/>
    </row>
    <row r="2711" spans="6:10" ht="12.75">
      <c r="F2711" s="17"/>
      <c r="G2711" s="19"/>
      <c r="H2711" s="23"/>
      <c r="I2711" s="4"/>
      <c r="J2711" s="14"/>
    </row>
    <row r="2712" spans="6:10" ht="12.75">
      <c r="F2712" s="17"/>
      <c r="G2712" s="19"/>
      <c r="H2712" s="23"/>
      <c r="I2712" s="4"/>
      <c r="J2712" s="14"/>
    </row>
    <row r="2713" spans="6:10" ht="12.75">
      <c r="F2713" s="17"/>
      <c r="G2713" s="19"/>
      <c r="H2713" s="23"/>
      <c r="I2713" s="4"/>
      <c r="J2713" s="14"/>
    </row>
    <row r="2714" spans="6:10" ht="12.75">
      <c r="F2714" s="17"/>
      <c r="G2714" s="19"/>
      <c r="H2714" s="23"/>
      <c r="I2714" s="4"/>
      <c r="J2714" s="14"/>
    </row>
    <row r="2715" spans="6:10" ht="12.75">
      <c r="F2715" s="17"/>
      <c r="G2715" s="19"/>
      <c r="H2715" s="23"/>
      <c r="I2715" s="4"/>
      <c r="J2715" s="14"/>
    </row>
    <row r="2716" spans="6:10" ht="12.75">
      <c r="F2716" s="17"/>
      <c r="G2716" s="19"/>
      <c r="H2716" s="23"/>
      <c r="I2716" s="4"/>
      <c r="J2716" s="14"/>
    </row>
    <row r="2717" spans="6:10" ht="12.75">
      <c r="F2717" s="17"/>
      <c r="G2717" s="19"/>
      <c r="H2717" s="23"/>
      <c r="I2717" s="4"/>
      <c r="J2717" s="14"/>
    </row>
    <row r="2718" spans="6:10" ht="12.75">
      <c r="F2718" s="17"/>
      <c r="G2718" s="19"/>
      <c r="H2718" s="23"/>
      <c r="I2718" s="4"/>
      <c r="J2718" s="14"/>
    </row>
    <row r="2719" spans="6:10" ht="12.75">
      <c r="F2719" s="17"/>
      <c r="G2719" s="19"/>
      <c r="H2719" s="23"/>
      <c r="I2719" s="4"/>
      <c r="J2719" s="14"/>
    </row>
    <row r="2720" spans="6:10" ht="12.75">
      <c r="F2720" s="17"/>
      <c r="G2720" s="19"/>
      <c r="H2720" s="23"/>
      <c r="I2720" s="4"/>
      <c r="J2720" s="14"/>
    </row>
    <row r="2721" spans="6:10" ht="12.75">
      <c r="F2721" s="17"/>
      <c r="G2721" s="19"/>
      <c r="H2721" s="23"/>
      <c r="I2721" s="4"/>
      <c r="J2721" s="14"/>
    </row>
    <row r="2722" spans="6:10" ht="12.75">
      <c r="F2722" s="17"/>
      <c r="G2722" s="19"/>
      <c r="H2722" s="23"/>
      <c r="I2722" s="4"/>
      <c r="J2722" s="14"/>
    </row>
    <row r="2723" spans="6:10" ht="12.75">
      <c r="F2723" s="17"/>
      <c r="G2723" s="19"/>
      <c r="H2723" s="23"/>
      <c r="I2723" s="4"/>
      <c r="J2723" s="14"/>
    </row>
    <row r="2724" spans="6:10" ht="12.75">
      <c r="F2724" s="17"/>
      <c r="G2724" s="19"/>
      <c r="H2724" s="23"/>
      <c r="I2724" s="4"/>
      <c r="J2724" s="14"/>
    </row>
    <row r="2725" spans="6:10" ht="12.75">
      <c r="F2725" s="17"/>
      <c r="G2725" s="19"/>
      <c r="H2725" s="23"/>
      <c r="I2725" s="4"/>
      <c r="J2725" s="14"/>
    </row>
    <row r="2726" spans="6:10" ht="12.75">
      <c r="F2726" s="17"/>
      <c r="G2726" s="19"/>
      <c r="H2726" s="23"/>
      <c r="I2726" s="4"/>
      <c r="J2726" s="14"/>
    </row>
    <row r="2727" spans="6:10" ht="12.75">
      <c r="F2727" s="17"/>
      <c r="G2727" s="19"/>
      <c r="H2727" s="23"/>
      <c r="I2727" s="4"/>
      <c r="J2727" s="14"/>
    </row>
    <row r="2728" spans="6:10" ht="12.75">
      <c r="F2728" s="17"/>
      <c r="G2728" s="19"/>
      <c r="H2728" s="23"/>
      <c r="I2728" s="4"/>
      <c r="J2728" s="14"/>
    </row>
    <row r="2729" spans="6:10" ht="12.75">
      <c r="F2729" s="17"/>
      <c r="G2729" s="19"/>
      <c r="H2729" s="23"/>
      <c r="I2729" s="4"/>
      <c r="J2729" s="14"/>
    </row>
    <row r="2730" spans="6:10" ht="12.75">
      <c r="F2730" s="17"/>
      <c r="G2730" s="19"/>
      <c r="H2730" s="23"/>
      <c r="I2730" s="4"/>
      <c r="J2730" s="14"/>
    </row>
    <row r="2731" spans="6:10" ht="12.75">
      <c r="F2731" s="17"/>
      <c r="G2731" s="19"/>
      <c r="H2731" s="23"/>
      <c r="I2731" s="4"/>
      <c r="J2731" s="14"/>
    </row>
    <row r="2732" spans="6:10" ht="12.75">
      <c r="F2732" s="17"/>
      <c r="G2732" s="19"/>
      <c r="H2732" s="23"/>
      <c r="I2732" s="4"/>
      <c r="J2732" s="14"/>
    </row>
    <row r="2733" spans="6:10" ht="12.75">
      <c r="F2733" s="17"/>
      <c r="G2733" s="19"/>
      <c r="H2733" s="23"/>
      <c r="I2733" s="4"/>
      <c r="J2733" s="14"/>
    </row>
    <row r="2734" spans="6:10" ht="12.75">
      <c r="F2734" s="17"/>
      <c r="G2734" s="19"/>
      <c r="H2734" s="23"/>
      <c r="I2734" s="4"/>
      <c r="J2734" s="14"/>
    </row>
    <row r="2735" spans="6:10" ht="12.75">
      <c r="F2735" s="17"/>
      <c r="G2735" s="19"/>
      <c r="H2735" s="23"/>
      <c r="I2735" s="4"/>
      <c r="J2735" s="14"/>
    </row>
    <row r="2736" spans="6:10" ht="12.75">
      <c r="F2736" s="17"/>
      <c r="G2736" s="19"/>
      <c r="H2736" s="23"/>
      <c r="I2736" s="4"/>
      <c r="J2736" s="14"/>
    </row>
    <row r="2737" spans="6:10" ht="12.75">
      <c r="F2737" s="17"/>
      <c r="G2737" s="19"/>
      <c r="H2737" s="23"/>
      <c r="I2737" s="4"/>
      <c r="J2737" s="14"/>
    </row>
    <row r="2738" spans="6:10" ht="12.75">
      <c r="F2738" s="17"/>
      <c r="G2738" s="19"/>
      <c r="H2738" s="23"/>
      <c r="I2738" s="4"/>
      <c r="J2738" s="14"/>
    </row>
    <row r="2739" spans="6:10" ht="12.75">
      <c r="F2739" s="17"/>
      <c r="G2739" s="19"/>
      <c r="H2739" s="23"/>
      <c r="I2739" s="4"/>
      <c r="J2739" s="14"/>
    </row>
    <row r="2740" spans="6:10" ht="12.75">
      <c r="F2740" s="17"/>
      <c r="G2740" s="19"/>
      <c r="H2740" s="23"/>
      <c r="I2740" s="4"/>
      <c r="J2740" s="14"/>
    </row>
    <row r="2741" spans="6:10" ht="12.75">
      <c r="F2741" s="17"/>
      <c r="G2741" s="19"/>
      <c r="H2741" s="23"/>
      <c r="I2741" s="4"/>
      <c r="J2741" s="14"/>
    </row>
    <row r="2742" spans="6:10" ht="12.75">
      <c r="F2742" s="17"/>
      <c r="G2742" s="19"/>
      <c r="H2742" s="23"/>
      <c r="I2742" s="4"/>
      <c r="J2742" s="14"/>
    </row>
    <row r="2743" spans="6:10" ht="12.75">
      <c r="F2743" s="17"/>
      <c r="G2743" s="19"/>
      <c r="H2743" s="23"/>
      <c r="I2743" s="4"/>
      <c r="J2743" s="14"/>
    </row>
    <row r="2744" spans="6:10" ht="12.75">
      <c r="F2744" s="17"/>
      <c r="G2744" s="19"/>
      <c r="H2744" s="23"/>
      <c r="I2744" s="4"/>
      <c r="J2744" s="14"/>
    </row>
    <row r="2745" spans="6:10" ht="12.75">
      <c r="F2745" s="17"/>
      <c r="G2745" s="19"/>
      <c r="H2745" s="23"/>
      <c r="I2745" s="4"/>
      <c r="J2745" s="14"/>
    </row>
    <row r="2746" spans="6:10" ht="12.75">
      <c r="F2746" s="17"/>
      <c r="G2746" s="19"/>
      <c r="H2746" s="23"/>
      <c r="I2746" s="4"/>
      <c r="J2746" s="14"/>
    </row>
    <row r="2747" spans="6:10" ht="12.75">
      <c r="F2747" s="17"/>
      <c r="G2747" s="19"/>
      <c r="H2747" s="23"/>
      <c r="I2747" s="4"/>
      <c r="J2747" s="14"/>
    </row>
    <row r="2748" spans="6:10" ht="12.75">
      <c r="F2748" s="17"/>
      <c r="G2748" s="19"/>
      <c r="H2748" s="23"/>
      <c r="I2748" s="4"/>
      <c r="J2748" s="14"/>
    </row>
    <row r="2749" spans="6:10" ht="12.75">
      <c r="F2749" s="17"/>
      <c r="G2749" s="19"/>
      <c r="H2749" s="23"/>
      <c r="I2749" s="4"/>
      <c r="J2749" s="14"/>
    </row>
    <row r="2750" spans="6:10" ht="12.75">
      <c r="F2750" s="17"/>
      <c r="G2750" s="19"/>
      <c r="H2750" s="23"/>
      <c r="I2750" s="4"/>
      <c r="J2750" s="14"/>
    </row>
    <row r="2751" spans="6:10" ht="12.75">
      <c r="F2751" s="17"/>
      <c r="G2751" s="19"/>
      <c r="H2751" s="23"/>
      <c r="I2751" s="4"/>
      <c r="J2751" s="14"/>
    </row>
    <row r="2752" spans="6:10" ht="12.75">
      <c r="F2752" s="17"/>
      <c r="G2752" s="19"/>
      <c r="H2752" s="23"/>
      <c r="I2752" s="4"/>
      <c r="J2752" s="14"/>
    </row>
    <row r="2753" spans="6:10" ht="12.75">
      <c r="F2753" s="17"/>
      <c r="G2753" s="19"/>
      <c r="H2753" s="23"/>
      <c r="I2753" s="4"/>
      <c r="J2753" s="14"/>
    </row>
    <row r="2754" spans="6:10" ht="12.75">
      <c r="F2754" s="17"/>
      <c r="G2754" s="19"/>
      <c r="H2754" s="23"/>
      <c r="I2754" s="4"/>
      <c r="J2754" s="14"/>
    </row>
    <row r="2755" spans="6:10" ht="12.75">
      <c r="F2755" s="17"/>
      <c r="G2755" s="19"/>
      <c r="H2755" s="23"/>
      <c r="I2755" s="4"/>
      <c r="J2755" s="14"/>
    </row>
    <row r="2756" spans="6:10" ht="12.75">
      <c r="F2756" s="17"/>
      <c r="G2756" s="19"/>
      <c r="H2756" s="23"/>
      <c r="I2756" s="4"/>
      <c r="J2756" s="14"/>
    </row>
    <row r="2757" spans="6:10" ht="12.75">
      <c r="F2757" s="17"/>
      <c r="G2757" s="19"/>
      <c r="H2757" s="23"/>
      <c r="I2757" s="4"/>
      <c r="J2757" s="14"/>
    </row>
    <row r="2758" spans="6:10" ht="12.75">
      <c r="F2758" s="17"/>
      <c r="G2758" s="19"/>
      <c r="H2758" s="23"/>
      <c r="I2758" s="4"/>
      <c r="J2758" s="14"/>
    </row>
    <row r="2759" spans="6:10" ht="12.75">
      <c r="F2759" s="17"/>
      <c r="G2759" s="19"/>
      <c r="H2759" s="23"/>
      <c r="I2759" s="4"/>
      <c r="J2759" s="14"/>
    </row>
    <row r="2760" spans="6:10" ht="12.75">
      <c r="F2760" s="17"/>
      <c r="G2760" s="19"/>
      <c r="H2760" s="23"/>
      <c r="I2760" s="4"/>
      <c r="J2760" s="14"/>
    </row>
    <row r="2761" spans="6:10" ht="12.75">
      <c r="F2761" s="17"/>
      <c r="G2761" s="19"/>
      <c r="H2761" s="23"/>
      <c r="I2761" s="4"/>
      <c r="J2761" s="14"/>
    </row>
    <row r="2762" spans="6:10" ht="12.75">
      <c r="F2762" s="17"/>
      <c r="G2762" s="19"/>
      <c r="H2762" s="23"/>
      <c r="I2762" s="4"/>
      <c r="J2762" s="14"/>
    </row>
    <row r="2763" spans="6:10" ht="12.75">
      <c r="F2763" s="17"/>
      <c r="G2763" s="19"/>
      <c r="H2763" s="23"/>
      <c r="I2763" s="4"/>
      <c r="J2763" s="14"/>
    </row>
    <row r="2764" spans="6:10" ht="12.75">
      <c r="F2764" s="17"/>
      <c r="G2764" s="19"/>
      <c r="H2764" s="23"/>
      <c r="I2764" s="4"/>
      <c r="J2764" s="14"/>
    </row>
    <row r="2765" spans="6:10" ht="12.75">
      <c r="F2765" s="17"/>
      <c r="G2765" s="19"/>
      <c r="H2765" s="23"/>
      <c r="I2765" s="4"/>
      <c r="J2765" s="14"/>
    </row>
    <row r="2766" spans="6:10" ht="12.75">
      <c r="F2766" s="17"/>
      <c r="G2766" s="19"/>
      <c r="H2766" s="23"/>
      <c r="I2766" s="4"/>
      <c r="J2766" s="14"/>
    </row>
    <row r="2767" spans="6:10" ht="12.75">
      <c r="F2767" s="17"/>
      <c r="G2767" s="19"/>
      <c r="H2767" s="23"/>
      <c r="I2767" s="4"/>
      <c r="J2767" s="14"/>
    </row>
    <row r="2768" spans="6:10" ht="12.75">
      <c r="F2768" s="17"/>
      <c r="G2768" s="19"/>
      <c r="H2768" s="23"/>
      <c r="I2768" s="4"/>
      <c r="J2768" s="14"/>
    </row>
    <row r="2769" spans="6:10" ht="12.75">
      <c r="F2769" s="17"/>
      <c r="G2769" s="19"/>
      <c r="H2769" s="23"/>
      <c r="I2769" s="4"/>
      <c r="J2769" s="14"/>
    </row>
    <row r="2770" spans="6:10" ht="12.75">
      <c r="F2770" s="17"/>
      <c r="G2770" s="19"/>
      <c r="H2770" s="23"/>
      <c r="I2770" s="4"/>
      <c r="J2770" s="14"/>
    </row>
    <row r="2771" spans="6:10" ht="12.75">
      <c r="F2771" s="17"/>
      <c r="G2771" s="19"/>
      <c r="H2771" s="23"/>
      <c r="I2771" s="4"/>
      <c r="J2771" s="14"/>
    </row>
    <row r="2772" spans="6:10" ht="12.75">
      <c r="F2772" s="17"/>
      <c r="G2772" s="19"/>
      <c r="H2772" s="23"/>
      <c r="I2772" s="4"/>
      <c r="J2772" s="14"/>
    </row>
    <row r="2773" spans="6:10" ht="12.75">
      <c r="F2773" s="17"/>
      <c r="G2773" s="19"/>
      <c r="H2773" s="23"/>
      <c r="I2773" s="4"/>
      <c r="J2773" s="14"/>
    </row>
    <row r="2774" spans="6:10" ht="12.75">
      <c r="F2774" s="17"/>
      <c r="G2774" s="19"/>
      <c r="H2774" s="23"/>
      <c r="I2774" s="4"/>
      <c r="J2774" s="14"/>
    </row>
    <row r="2775" spans="6:10" ht="12.75">
      <c r="F2775" s="17"/>
      <c r="G2775" s="19"/>
      <c r="H2775" s="23"/>
      <c r="I2775" s="4"/>
      <c r="J2775" s="14"/>
    </row>
    <row r="2776" spans="6:10" ht="12.75">
      <c r="F2776" s="17"/>
      <c r="G2776" s="19"/>
      <c r="H2776" s="23"/>
      <c r="I2776" s="4"/>
      <c r="J2776" s="14"/>
    </row>
    <row r="2777" spans="6:10" ht="12.75">
      <c r="F2777" s="17"/>
      <c r="G2777" s="19"/>
      <c r="H2777" s="23"/>
      <c r="I2777" s="4"/>
      <c r="J2777" s="14"/>
    </row>
    <row r="2778" spans="6:10" ht="12.75">
      <c r="F2778" s="17"/>
      <c r="G2778" s="19"/>
      <c r="H2778" s="23"/>
      <c r="I2778" s="4"/>
      <c r="J2778" s="14"/>
    </row>
    <row r="2779" spans="6:10" ht="12.75">
      <c r="F2779" s="17"/>
      <c r="G2779" s="19"/>
      <c r="H2779" s="23"/>
      <c r="I2779" s="4"/>
      <c r="J2779" s="14"/>
    </row>
    <row r="2780" spans="6:10" ht="12.75">
      <c r="F2780" s="17"/>
      <c r="G2780" s="19"/>
      <c r="H2780" s="23"/>
      <c r="I2780" s="4"/>
      <c r="J2780" s="14"/>
    </row>
    <row r="2781" spans="6:10" ht="12.75">
      <c r="F2781" s="17"/>
      <c r="G2781" s="19"/>
      <c r="H2781" s="23"/>
      <c r="I2781" s="4"/>
      <c r="J2781" s="14"/>
    </row>
    <row r="2782" spans="6:10" ht="12.75">
      <c r="F2782" s="17"/>
      <c r="G2782" s="19"/>
      <c r="H2782" s="23"/>
      <c r="I2782" s="4"/>
      <c r="J2782" s="14"/>
    </row>
    <row r="2783" spans="6:10" ht="12.75">
      <c r="F2783" s="17"/>
      <c r="G2783" s="19"/>
      <c r="H2783" s="23"/>
      <c r="I2783" s="4"/>
      <c r="J2783" s="14"/>
    </row>
    <row r="2784" spans="6:10" ht="12.75">
      <c r="F2784" s="17"/>
      <c r="G2784" s="19"/>
      <c r="H2784" s="23"/>
      <c r="I2784" s="4"/>
      <c r="J2784" s="14"/>
    </row>
    <row r="2785" spans="6:10" ht="12.75">
      <c r="F2785" s="17"/>
      <c r="G2785" s="19"/>
      <c r="H2785" s="23"/>
      <c r="I2785" s="4"/>
      <c r="J2785" s="14"/>
    </row>
    <row r="2786" spans="6:10" ht="12.75">
      <c r="F2786" s="17"/>
      <c r="G2786" s="19"/>
      <c r="H2786" s="23"/>
      <c r="I2786" s="4"/>
      <c r="J2786" s="14"/>
    </row>
    <row r="2787" spans="6:10" ht="12.75">
      <c r="F2787" s="17"/>
      <c r="G2787" s="19"/>
      <c r="H2787" s="23"/>
      <c r="I2787" s="4"/>
      <c r="J2787" s="14"/>
    </row>
    <row r="2788" spans="6:10" ht="12.75">
      <c r="F2788" s="17"/>
      <c r="G2788" s="19"/>
      <c r="H2788" s="23"/>
      <c r="I2788" s="4"/>
      <c r="J2788" s="14"/>
    </row>
    <row r="2789" spans="6:10" ht="12.75">
      <c r="F2789" s="17"/>
      <c r="G2789" s="19"/>
      <c r="H2789" s="23"/>
      <c r="I2789" s="4"/>
      <c r="J2789" s="14"/>
    </row>
    <row r="2790" spans="6:10" ht="12.75">
      <c r="F2790" s="17"/>
      <c r="G2790" s="19"/>
      <c r="H2790" s="23"/>
      <c r="I2790" s="4"/>
      <c r="J2790" s="14"/>
    </row>
    <row r="2791" spans="6:10" ht="12.75">
      <c r="F2791" s="17"/>
      <c r="G2791" s="19"/>
      <c r="H2791" s="23"/>
      <c r="I2791" s="4"/>
      <c r="J2791" s="14"/>
    </row>
    <row r="2792" spans="6:10" ht="12.75">
      <c r="F2792" s="17"/>
      <c r="G2792" s="19"/>
      <c r="H2792" s="23"/>
      <c r="I2792" s="4"/>
      <c r="J2792" s="14"/>
    </row>
    <row r="2793" spans="6:10" ht="12.75">
      <c r="F2793" s="17"/>
      <c r="G2793" s="19"/>
      <c r="H2793" s="23"/>
      <c r="I2793" s="4"/>
      <c r="J2793" s="14"/>
    </row>
    <row r="2794" spans="6:10" ht="12.75">
      <c r="F2794" s="17"/>
      <c r="G2794" s="19"/>
      <c r="H2794" s="23"/>
      <c r="I2794" s="4"/>
      <c r="J2794" s="14"/>
    </row>
    <row r="2795" spans="6:10" ht="12.75">
      <c r="F2795" s="17"/>
      <c r="G2795" s="19"/>
      <c r="H2795" s="23"/>
      <c r="I2795" s="4"/>
      <c r="J2795" s="14"/>
    </row>
    <row r="2796" spans="6:10" ht="12.75">
      <c r="F2796" s="17"/>
      <c r="G2796" s="19"/>
      <c r="H2796" s="23"/>
      <c r="I2796" s="4"/>
      <c r="J2796" s="14"/>
    </row>
    <row r="2797" spans="6:10" ht="12.75">
      <c r="F2797" s="17"/>
      <c r="G2797" s="19"/>
      <c r="H2797" s="23"/>
      <c r="I2797" s="4"/>
      <c r="J2797" s="14"/>
    </row>
    <row r="2798" spans="6:10" ht="12.75">
      <c r="F2798" s="17"/>
      <c r="G2798" s="19"/>
      <c r="H2798" s="23"/>
      <c r="I2798" s="4"/>
      <c r="J2798" s="14"/>
    </row>
    <row r="2799" spans="6:10" ht="12.75">
      <c r="F2799" s="17"/>
      <c r="G2799" s="19"/>
      <c r="H2799" s="23"/>
      <c r="I2799" s="4"/>
      <c r="J2799" s="14"/>
    </row>
    <row r="2800" spans="6:10" ht="12.75">
      <c r="F2800" s="17"/>
      <c r="G2800" s="19"/>
      <c r="H2800" s="23"/>
      <c r="I2800" s="4"/>
      <c r="J2800" s="14"/>
    </row>
    <row r="2801" spans="6:10" ht="12.75">
      <c r="F2801" s="17"/>
      <c r="G2801" s="19"/>
      <c r="H2801" s="23"/>
      <c r="I2801" s="4"/>
      <c r="J2801" s="14"/>
    </row>
    <row r="2802" spans="6:10" ht="12.75">
      <c r="F2802" s="17"/>
      <c r="G2802" s="19"/>
      <c r="H2802" s="23"/>
      <c r="I2802" s="4"/>
      <c r="J2802" s="14"/>
    </row>
    <row r="2803" spans="6:10" ht="12.75">
      <c r="F2803" s="17"/>
      <c r="G2803" s="19"/>
      <c r="H2803" s="23"/>
      <c r="I2803" s="4"/>
      <c r="J2803" s="14"/>
    </row>
    <row r="2804" spans="6:10" ht="12.75">
      <c r="F2804" s="17"/>
      <c r="G2804" s="19"/>
      <c r="H2804" s="23"/>
      <c r="I2804" s="4"/>
      <c r="J2804" s="14"/>
    </row>
    <row r="2805" spans="6:10" ht="12.75">
      <c r="F2805" s="17"/>
      <c r="G2805" s="19"/>
      <c r="H2805" s="23"/>
      <c r="I2805" s="4"/>
      <c r="J2805" s="14"/>
    </row>
    <row r="2806" spans="6:10" ht="12.75">
      <c r="F2806" s="17"/>
      <c r="G2806" s="19"/>
      <c r="H2806" s="23"/>
      <c r="I2806" s="4"/>
      <c r="J2806" s="14"/>
    </row>
    <row r="2807" spans="6:10" ht="12.75">
      <c r="F2807" s="17"/>
      <c r="G2807" s="19"/>
      <c r="H2807" s="23"/>
      <c r="I2807" s="4"/>
      <c r="J2807" s="14"/>
    </row>
    <row r="2808" spans="6:10" ht="12.75">
      <c r="F2808" s="17"/>
      <c r="G2808" s="19"/>
      <c r="H2808" s="23"/>
      <c r="I2808" s="4"/>
      <c r="J2808" s="14"/>
    </row>
    <row r="2809" spans="6:10" ht="12.75">
      <c r="F2809" s="17"/>
      <c r="G2809" s="19"/>
      <c r="H2809" s="23"/>
      <c r="I2809" s="4"/>
      <c r="J2809" s="14"/>
    </row>
    <row r="2810" spans="6:10" ht="12.75">
      <c r="F2810" s="17"/>
      <c r="G2810" s="19"/>
      <c r="H2810" s="23"/>
      <c r="I2810" s="4"/>
      <c r="J2810" s="14"/>
    </row>
    <row r="2811" spans="6:10" ht="12.75">
      <c r="F2811" s="17"/>
      <c r="G2811" s="19"/>
      <c r="H2811" s="23"/>
      <c r="I2811" s="4"/>
      <c r="J2811" s="14"/>
    </row>
    <row r="2812" spans="6:10" ht="12.75">
      <c r="F2812" s="17"/>
      <c r="G2812" s="19"/>
      <c r="H2812" s="23"/>
      <c r="I2812" s="4"/>
      <c r="J2812" s="14"/>
    </row>
    <row r="2813" spans="6:10" ht="12.75">
      <c r="F2813" s="17"/>
      <c r="G2813" s="19"/>
      <c r="H2813" s="23"/>
      <c r="I2813" s="4"/>
      <c r="J2813" s="14"/>
    </row>
    <row r="2814" spans="6:10" ht="12.75">
      <c r="F2814" s="17"/>
      <c r="G2814" s="19"/>
      <c r="H2814" s="23"/>
      <c r="I2814" s="4"/>
      <c r="J2814" s="14"/>
    </row>
    <row r="2815" spans="6:10" ht="12.75">
      <c r="F2815" s="17"/>
      <c r="G2815" s="19"/>
      <c r="H2815" s="23"/>
      <c r="I2815" s="4"/>
      <c r="J2815" s="14"/>
    </row>
    <row r="2816" spans="6:10" ht="12.75">
      <c r="F2816" s="17"/>
      <c r="G2816" s="19"/>
      <c r="H2816" s="23"/>
      <c r="I2816" s="4"/>
      <c r="J2816" s="14"/>
    </row>
    <row r="2817" spans="6:10" ht="12.75">
      <c r="F2817" s="17"/>
      <c r="G2817" s="19"/>
      <c r="H2817" s="23"/>
      <c r="I2817" s="4"/>
      <c r="J2817" s="14"/>
    </row>
    <row r="2818" spans="6:10" ht="12.75">
      <c r="F2818" s="17"/>
      <c r="G2818" s="19"/>
      <c r="H2818" s="23"/>
      <c r="I2818" s="4"/>
      <c r="J2818" s="14"/>
    </row>
    <row r="2819" spans="6:10" ht="12.75">
      <c r="F2819" s="17"/>
      <c r="G2819" s="19"/>
      <c r="H2819" s="23"/>
      <c r="I2819" s="4"/>
      <c r="J2819" s="14"/>
    </row>
    <row r="2820" spans="6:10" ht="12.75">
      <c r="F2820" s="17"/>
      <c r="G2820" s="19"/>
      <c r="H2820" s="23"/>
      <c r="I2820" s="4"/>
      <c r="J2820" s="14"/>
    </row>
    <row r="2821" spans="6:10" ht="12.75">
      <c r="F2821" s="17"/>
      <c r="G2821" s="19"/>
      <c r="H2821" s="23"/>
      <c r="I2821" s="4"/>
      <c r="J2821" s="14"/>
    </row>
    <row r="2822" spans="6:10" ht="12.75">
      <c r="F2822" s="17"/>
      <c r="G2822" s="19"/>
      <c r="H2822" s="23"/>
      <c r="I2822" s="4"/>
      <c r="J2822" s="14"/>
    </row>
    <row r="2823" spans="6:10" ht="12.75">
      <c r="F2823" s="17"/>
      <c r="G2823" s="19"/>
      <c r="H2823" s="23"/>
      <c r="I2823" s="4"/>
      <c r="J2823" s="14"/>
    </row>
    <row r="2824" spans="6:10" ht="12.75">
      <c r="F2824" s="17"/>
      <c r="G2824" s="19"/>
      <c r="H2824" s="23"/>
      <c r="I2824" s="4"/>
      <c r="J2824" s="14"/>
    </row>
    <row r="2825" spans="6:10" ht="12.75">
      <c r="F2825" s="17"/>
      <c r="G2825" s="19"/>
      <c r="H2825" s="23"/>
      <c r="I2825" s="4"/>
      <c r="J2825" s="14"/>
    </row>
    <row r="2826" spans="6:10" ht="12.75">
      <c r="F2826" s="17"/>
      <c r="G2826" s="19"/>
      <c r="H2826" s="23"/>
      <c r="I2826" s="4"/>
      <c r="J2826" s="14"/>
    </row>
    <row r="2827" spans="6:10" ht="12.75">
      <c r="F2827" s="17"/>
      <c r="G2827" s="19"/>
      <c r="H2827" s="23"/>
      <c r="I2827" s="4"/>
      <c r="J2827" s="14"/>
    </row>
    <row r="2828" spans="6:10" ht="12.75">
      <c r="F2828" s="17"/>
      <c r="G2828" s="19"/>
      <c r="H2828" s="23"/>
      <c r="I2828" s="4"/>
      <c r="J2828" s="14"/>
    </row>
    <row r="2829" spans="6:10" ht="12.75">
      <c r="F2829" s="17"/>
      <c r="G2829" s="19"/>
      <c r="H2829" s="23"/>
      <c r="I2829" s="4"/>
      <c r="J2829" s="14"/>
    </row>
    <row r="2830" spans="6:10" ht="12.75">
      <c r="F2830" s="17"/>
      <c r="G2830" s="19"/>
      <c r="H2830" s="23"/>
      <c r="I2830" s="4"/>
      <c r="J2830" s="14"/>
    </row>
    <row r="2831" spans="6:10" ht="12.75">
      <c r="F2831" s="17"/>
      <c r="G2831" s="19"/>
      <c r="H2831" s="23"/>
      <c r="I2831" s="4"/>
      <c r="J2831" s="14"/>
    </row>
    <row r="2832" spans="6:10" ht="12.75">
      <c r="F2832" s="17"/>
      <c r="G2832" s="19"/>
      <c r="H2832" s="23"/>
      <c r="I2832" s="4"/>
      <c r="J2832" s="14"/>
    </row>
    <row r="2833" spans="6:10" ht="12.75">
      <c r="F2833" s="17"/>
      <c r="G2833" s="19"/>
      <c r="H2833" s="23"/>
      <c r="I2833" s="4"/>
      <c r="J2833" s="14"/>
    </row>
    <row r="2834" spans="6:10" ht="12.75">
      <c r="F2834" s="17"/>
      <c r="G2834" s="19"/>
      <c r="H2834" s="23"/>
      <c r="I2834" s="4"/>
      <c r="J2834" s="14"/>
    </row>
    <row r="2835" spans="6:10" ht="12.75">
      <c r="F2835" s="17"/>
      <c r="G2835" s="19"/>
      <c r="H2835" s="23"/>
      <c r="I2835" s="4"/>
      <c r="J2835" s="14"/>
    </row>
    <row r="2836" spans="6:10" ht="12.75">
      <c r="F2836" s="17"/>
      <c r="G2836" s="19"/>
      <c r="H2836" s="23"/>
      <c r="I2836" s="4"/>
      <c r="J2836" s="14"/>
    </row>
    <row r="2837" spans="6:10" ht="12.75">
      <c r="F2837" s="17"/>
      <c r="G2837" s="19"/>
      <c r="H2837" s="23"/>
      <c r="I2837" s="4"/>
      <c r="J2837" s="14"/>
    </row>
    <row r="2838" spans="6:10" ht="12.75">
      <c r="F2838" s="17"/>
      <c r="G2838" s="19"/>
      <c r="H2838" s="23"/>
      <c r="I2838" s="4"/>
      <c r="J2838" s="14"/>
    </row>
    <row r="2839" spans="6:10" ht="12.75">
      <c r="F2839" s="17"/>
      <c r="G2839" s="19"/>
      <c r="H2839" s="23"/>
      <c r="I2839" s="4"/>
      <c r="J2839" s="14"/>
    </row>
    <row r="2840" spans="6:10" ht="12.75">
      <c r="F2840" s="17"/>
      <c r="G2840" s="19"/>
      <c r="H2840" s="23"/>
      <c r="I2840" s="4"/>
      <c r="J2840" s="14"/>
    </row>
    <row r="2841" spans="6:10" ht="12.75">
      <c r="F2841" s="17"/>
      <c r="G2841" s="19"/>
      <c r="H2841" s="23"/>
      <c r="I2841" s="4"/>
      <c r="J2841" s="14"/>
    </row>
    <row r="2842" spans="6:10" ht="12.75">
      <c r="F2842" s="17"/>
      <c r="G2842" s="19"/>
      <c r="H2842" s="23"/>
      <c r="I2842" s="4"/>
      <c r="J2842" s="14"/>
    </row>
    <row r="2843" spans="6:10" ht="12.75">
      <c r="F2843" s="17"/>
      <c r="G2843" s="19"/>
      <c r="H2843" s="23"/>
      <c r="I2843" s="4"/>
      <c r="J2843" s="14"/>
    </row>
    <row r="2844" spans="6:10" ht="12.75">
      <c r="F2844" s="17"/>
      <c r="G2844" s="19"/>
      <c r="H2844" s="23"/>
      <c r="I2844" s="4"/>
      <c r="J2844" s="14"/>
    </row>
    <row r="2845" spans="6:10" ht="12.75">
      <c r="F2845" s="17"/>
      <c r="G2845" s="19"/>
      <c r="H2845" s="23"/>
      <c r="I2845" s="4"/>
      <c r="J2845" s="14"/>
    </row>
    <row r="2846" spans="6:10" ht="12.75">
      <c r="F2846" s="17"/>
      <c r="G2846" s="19"/>
      <c r="H2846" s="23"/>
      <c r="I2846" s="4"/>
      <c r="J2846" s="14"/>
    </row>
    <row r="2847" spans="6:10" ht="12.75">
      <c r="F2847" s="17"/>
      <c r="G2847" s="19"/>
      <c r="H2847" s="23"/>
      <c r="I2847" s="4"/>
      <c r="J2847" s="14"/>
    </row>
    <row r="2848" spans="6:10" ht="12.75">
      <c r="F2848" s="17"/>
      <c r="G2848" s="19"/>
      <c r="H2848" s="23"/>
      <c r="I2848" s="4"/>
      <c r="J2848" s="14"/>
    </row>
    <row r="2849" spans="6:10" ht="12.75">
      <c r="F2849" s="17"/>
      <c r="G2849" s="19"/>
      <c r="H2849" s="23"/>
      <c r="I2849" s="4"/>
      <c r="J2849" s="14"/>
    </row>
    <row r="2850" spans="6:10" ht="12.75">
      <c r="F2850" s="17"/>
      <c r="G2850" s="19"/>
      <c r="H2850" s="23"/>
      <c r="I2850" s="4"/>
      <c r="J2850" s="14"/>
    </row>
    <row r="2851" spans="6:10" ht="12.75">
      <c r="F2851" s="17"/>
      <c r="G2851" s="19"/>
      <c r="H2851" s="23"/>
      <c r="I2851" s="4"/>
      <c r="J2851" s="14"/>
    </row>
    <row r="2852" spans="6:10" ht="12.75">
      <c r="F2852" s="17"/>
      <c r="G2852" s="19"/>
      <c r="H2852" s="23"/>
      <c r="I2852" s="4"/>
      <c r="J2852" s="14"/>
    </row>
    <row r="2853" spans="6:10" ht="12.75">
      <c r="F2853" s="17"/>
      <c r="G2853" s="19"/>
      <c r="H2853" s="23"/>
      <c r="I2853" s="4"/>
      <c r="J2853" s="14"/>
    </row>
    <row r="2854" spans="6:10" ht="12.75">
      <c r="F2854" s="17"/>
      <c r="G2854" s="19"/>
      <c r="H2854" s="23"/>
      <c r="I2854" s="4"/>
      <c r="J2854" s="14"/>
    </row>
    <row r="2855" spans="6:10" ht="12.75">
      <c r="F2855" s="17"/>
      <c r="G2855" s="19"/>
      <c r="H2855" s="23"/>
      <c r="I2855" s="4"/>
      <c r="J2855" s="14"/>
    </row>
    <row r="2856" spans="6:10" ht="12.75">
      <c r="F2856" s="17"/>
      <c r="G2856" s="19"/>
      <c r="H2856" s="23"/>
      <c r="I2856" s="4"/>
      <c r="J2856" s="14"/>
    </row>
    <row r="2857" spans="6:10" ht="12.75">
      <c r="F2857" s="17"/>
      <c r="G2857" s="19"/>
      <c r="H2857" s="23"/>
      <c r="I2857" s="4"/>
      <c r="J2857" s="14"/>
    </row>
    <row r="2858" spans="6:10" ht="12.75">
      <c r="F2858" s="17"/>
      <c r="G2858" s="19"/>
      <c r="H2858" s="23"/>
      <c r="I2858" s="4"/>
      <c r="J2858" s="14"/>
    </row>
    <row r="2859" spans="6:10" ht="12.75">
      <c r="F2859" s="17"/>
      <c r="G2859" s="19"/>
      <c r="H2859" s="23"/>
      <c r="I2859" s="4"/>
      <c r="J2859" s="14"/>
    </row>
    <row r="2860" spans="6:10" ht="12.75">
      <c r="F2860" s="17"/>
      <c r="G2860" s="19"/>
      <c r="H2860" s="23"/>
      <c r="I2860" s="4"/>
      <c r="J2860" s="14"/>
    </row>
    <row r="2861" spans="6:10" ht="12.75">
      <c r="F2861" s="17"/>
      <c r="G2861" s="19"/>
      <c r="H2861" s="23"/>
      <c r="I2861" s="4"/>
      <c r="J2861" s="14"/>
    </row>
    <row r="2862" spans="6:10" ht="12.75">
      <c r="F2862" s="17"/>
      <c r="G2862" s="19"/>
      <c r="H2862" s="23"/>
      <c r="I2862" s="4"/>
      <c r="J2862" s="14"/>
    </row>
    <row r="2863" spans="6:10" ht="12.75">
      <c r="F2863" s="17"/>
      <c r="G2863" s="19"/>
      <c r="H2863" s="23"/>
      <c r="I2863" s="4"/>
      <c r="J2863" s="14"/>
    </row>
    <row r="2864" spans="6:10" ht="12.75">
      <c r="F2864" s="17"/>
      <c r="G2864" s="19"/>
      <c r="H2864" s="23"/>
      <c r="I2864" s="4"/>
      <c r="J2864" s="14"/>
    </row>
    <row r="2865" spans="6:10" ht="12.75">
      <c r="F2865" s="17"/>
      <c r="G2865" s="19"/>
      <c r="H2865" s="23"/>
      <c r="I2865" s="4"/>
      <c r="J2865" s="14"/>
    </row>
    <row r="2866" spans="6:10" ht="12.75">
      <c r="F2866" s="17"/>
      <c r="G2866" s="19"/>
      <c r="H2866" s="23"/>
      <c r="I2866" s="4"/>
      <c r="J2866" s="14"/>
    </row>
    <row r="2867" spans="6:10" ht="12.75">
      <c r="F2867" s="17"/>
      <c r="G2867" s="19"/>
      <c r="H2867" s="23"/>
      <c r="I2867" s="4"/>
      <c r="J2867" s="14"/>
    </row>
    <row r="2868" spans="6:10" ht="12.75">
      <c r="F2868" s="17"/>
      <c r="G2868" s="19"/>
      <c r="H2868" s="23"/>
      <c r="I2868" s="4"/>
      <c r="J2868" s="14"/>
    </row>
    <row r="2869" spans="6:10" ht="12.75">
      <c r="F2869" s="17"/>
      <c r="G2869" s="19"/>
      <c r="H2869" s="23"/>
      <c r="I2869" s="4"/>
      <c r="J2869" s="14"/>
    </row>
    <row r="2870" spans="6:10" ht="12.75">
      <c r="F2870" s="17"/>
      <c r="G2870" s="19"/>
      <c r="H2870" s="23"/>
      <c r="I2870" s="4"/>
      <c r="J2870" s="14"/>
    </row>
    <row r="2871" spans="6:10" ht="12.75">
      <c r="F2871" s="17"/>
      <c r="G2871" s="19"/>
      <c r="H2871" s="23"/>
      <c r="I2871" s="4"/>
      <c r="J2871" s="14"/>
    </row>
    <row r="2872" spans="6:10" ht="12.75">
      <c r="F2872" s="17"/>
      <c r="G2872" s="19"/>
      <c r="H2872" s="23"/>
      <c r="I2872" s="4"/>
      <c r="J2872" s="14"/>
    </row>
    <row r="2873" spans="6:10" ht="12.75">
      <c r="F2873" s="17"/>
      <c r="G2873" s="19"/>
      <c r="H2873" s="23"/>
      <c r="I2873" s="4"/>
      <c r="J2873" s="14"/>
    </row>
    <row r="2874" spans="6:10" ht="12.75">
      <c r="F2874" s="17"/>
      <c r="G2874" s="19"/>
      <c r="H2874" s="23"/>
      <c r="I2874" s="4"/>
      <c r="J2874" s="14"/>
    </row>
    <row r="2875" spans="6:10" ht="12.75">
      <c r="F2875" s="17"/>
      <c r="G2875" s="19"/>
      <c r="H2875" s="23"/>
      <c r="I2875" s="4"/>
      <c r="J2875" s="14"/>
    </row>
    <row r="2876" spans="6:10" ht="12.75">
      <c r="F2876" s="17"/>
      <c r="G2876" s="19"/>
      <c r="H2876" s="23"/>
      <c r="I2876" s="4"/>
      <c r="J2876" s="14"/>
    </row>
    <row r="2877" spans="6:10" ht="12.75">
      <c r="F2877" s="17"/>
      <c r="G2877" s="19"/>
      <c r="H2877" s="23"/>
      <c r="I2877" s="4"/>
      <c r="J2877" s="14"/>
    </row>
    <row r="2878" spans="6:10" ht="12.75">
      <c r="F2878" s="17"/>
      <c r="G2878" s="19"/>
      <c r="H2878" s="23"/>
      <c r="I2878" s="4"/>
      <c r="J2878" s="14"/>
    </row>
    <row r="2879" spans="6:10" ht="12.75">
      <c r="F2879" s="17"/>
      <c r="G2879" s="19"/>
      <c r="H2879" s="23"/>
      <c r="I2879" s="4"/>
      <c r="J2879" s="14"/>
    </row>
    <row r="2880" spans="6:10" ht="12.75">
      <c r="F2880" s="17"/>
      <c r="G2880" s="19"/>
      <c r="H2880" s="23"/>
      <c r="I2880" s="4"/>
      <c r="J2880" s="14"/>
    </row>
    <row r="2881" spans="6:10" ht="12.75">
      <c r="F2881" s="17"/>
      <c r="G2881" s="19"/>
      <c r="H2881" s="23"/>
      <c r="I2881" s="4"/>
      <c r="J2881" s="14"/>
    </row>
    <row r="2882" spans="6:10" ht="12.75">
      <c r="F2882" s="17"/>
      <c r="G2882" s="19"/>
      <c r="H2882" s="23"/>
      <c r="I2882" s="4"/>
      <c r="J2882" s="14"/>
    </row>
    <row r="2883" spans="6:10" ht="12.75">
      <c r="F2883" s="17"/>
      <c r="G2883" s="19"/>
      <c r="H2883" s="23"/>
      <c r="I2883" s="4"/>
      <c r="J2883" s="14"/>
    </row>
    <row r="2884" spans="6:10" ht="12.75">
      <c r="F2884" s="17"/>
      <c r="G2884" s="19"/>
      <c r="H2884" s="23"/>
      <c r="I2884" s="4"/>
      <c r="J2884" s="14"/>
    </row>
    <row r="2885" spans="6:10" ht="12.75">
      <c r="F2885" s="17"/>
      <c r="G2885" s="19"/>
      <c r="H2885" s="23"/>
      <c r="I2885" s="4"/>
      <c r="J2885" s="14"/>
    </row>
    <row r="2886" spans="6:10" ht="12.75">
      <c r="F2886" s="17"/>
      <c r="G2886" s="19"/>
      <c r="H2886" s="23"/>
      <c r="I2886" s="4"/>
      <c r="J2886" s="14"/>
    </row>
    <row r="2887" spans="6:10" ht="12.75">
      <c r="F2887" s="17"/>
      <c r="G2887" s="19"/>
      <c r="H2887" s="23"/>
      <c r="I2887" s="4"/>
      <c r="J2887" s="14"/>
    </row>
    <row r="2888" spans="6:10" ht="12.75">
      <c r="F2888" s="17"/>
      <c r="G2888" s="19"/>
      <c r="H2888" s="23"/>
      <c r="I2888" s="4"/>
      <c r="J2888" s="14"/>
    </row>
    <row r="2889" spans="6:10" ht="12.75">
      <c r="F2889" s="17"/>
      <c r="G2889" s="19"/>
      <c r="H2889" s="23"/>
      <c r="I2889" s="4"/>
      <c r="J2889" s="14"/>
    </row>
    <row r="2890" spans="6:10" ht="12.75">
      <c r="F2890" s="17"/>
      <c r="G2890" s="19"/>
      <c r="H2890" s="23"/>
      <c r="I2890" s="4"/>
      <c r="J2890" s="14"/>
    </row>
    <row r="2891" spans="6:10" ht="12.75">
      <c r="F2891" s="17"/>
      <c r="G2891" s="19"/>
      <c r="H2891" s="23"/>
      <c r="I2891" s="4"/>
      <c r="J2891" s="14"/>
    </row>
    <row r="2892" spans="6:10" ht="12.75">
      <c r="F2892" s="17"/>
      <c r="G2892" s="19"/>
      <c r="H2892" s="23"/>
      <c r="I2892" s="4"/>
      <c r="J2892" s="14"/>
    </row>
    <row r="2893" spans="6:10" ht="12.75">
      <c r="F2893" s="17"/>
      <c r="G2893" s="19"/>
      <c r="H2893" s="23"/>
      <c r="I2893" s="4"/>
      <c r="J2893" s="14"/>
    </row>
    <row r="2894" spans="6:10" ht="12.75">
      <c r="F2894" s="17"/>
      <c r="G2894" s="19"/>
      <c r="H2894" s="23"/>
      <c r="I2894" s="4"/>
      <c r="J2894" s="14"/>
    </row>
    <row r="2895" spans="6:10" ht="12.75">
      <c r="F2895" s="17"/>
      <c r="G2895" s="19"/>
      <c r="H2895" s="23"/>
      <c r="I2895" s="4"/>
      <c r="J2895" s="14"/>
    </row>
    <row r="2896" spans="6:10" ht="12.75">
      <c r="F2896" s="17"/>
      <c r="G2896" s="19"/>
      <c r="H2896" s="23"/>
      <c r="I2896" s="4"/>
      <c r="J2896" s="14"/>
    </row>
    <row r="2897" spans="6:10" ht="12.75">
      <c r="F2897" s="17"/>
      <c r="G2897" s="19"/>
      <c r="H2897" s="23"/>
      <c r="I2897" s="4"/>
      <c r="J2897" s="14"/>
    </row>
    <row r="2898" spans="6:10" ht="12.75">
      <c r="F2898" s="17"/>
      <c r="G2898" s="19"/>
      <c r="H2898" s="23"/>
      <c r="I2898" s="4"/>
      <c r="J2898" s="14"/>
    </row>
    <row r="2899" spans="6:10" ht="12.75">
      <c r="F2899" s="17"/>
      <c r="G2899" s="19"/>
      <c r="H2899" s="23"/>
      <c r="I2899" s="4"/>
      <c r="J2899" s="14"/>
    </row>
    <row r="2900" spans="6:10" ht="12.75">
      <c r="F2900" s="17"/>
      <c r="G2900" s="19"/>
      <c r="H2900" s="23"/>
      <c r="I2900" s="4"/>
      <c r="J2900" s="14"/>
    </row>
    <row r="2901" spans="6:10" ht="12.75">
      <c r="F2901" s="17"/>
      <c r="G2901" s="19"/>
      <c r="H2901" s="23"/>
      <c r="I2901" s="4"/>
      <c r="J2901" s="14"/>
    </row>
    <row r="2902" spans="6:10" ht="12.75">
      <c r="F2902" s="17"/>
      <c r="G2902" s="19"/>
      <c r="H2902" s="23"/>
      <c r="I2902" s="4"/>
      <c r="J2902" s="14"/>
    </row>
    <row r="2903" spans="6:10" ht="12.75">
      <c r="F2903" s="17"/>
      <c r="G2903" s="19"/>
      <c r="H2903" s="23"/>
      <c r="I2903" s="4"/>
      <c r="J2903" s="14"/>
    </row>
    <row r="2904" spans="6:10" ht="12.75">
      <c r="F2904" s="17"/>
      <c r="G2904" s="19"/>
      <c r="H2904" s="23"/>
      <c r="I2904" s="4"/>
      <c r="J2904" s="14"/>
    </row>
    <row r="2905" spans="6:10" ht="12.75">
      <c r="F2905" s="17"/>
      <c r="G2905" s="19"/>
      <c r="H2905" s="23"/>
      <c r="I2905" s="4"/>
      <c r="J2905" s="14"/>
    </row>
    <row r="2906" spans="6:10" ht="12.75">
      <c r="F2906" s="17"/>
      <c r="G2906" s="19"/>
      <c r="H2906" s="23"/>
      <c r="I2906" s="4"/>
      <c r="J2906" s="14"/>
    </row>
    <row r="2907" spans="6:10" ht="12.75">
      <c r="F2907" s="17"/>
      <c r="G2907" s="19"/>
      <c r="H2907" s="23"/>
      <c r="I2907" s="4"/>
      <c r="J2907" s="14"/>
    </row>
    <row r="2908" spans="6:10" ht="12.75">
      <c r="F2908" s="17"/>
      <c r="G2908" s="19"/>
      <c r="H2908" s="23"/>
      <c r="I2908" s="4"/>
      <c r="J2908" s="14"/>
    </row>
    <row r="2909" spans="6:10" ht="12.75">
      <c r="F2909" s="17"/>
      <c r="G2909" s="19"/>
      <c r="H2909" s="23"/>
      <c r="I2909" s="4"/>
      <c r="J2909" s="14"/>
    </row>
    <row r="2910" spans="6:10" ht="12.75">
      <c r="F2910" s="17"/>
      <c r="G2910" s="19"/>
      <c r="H2910" s="23"/>
      <c r="I2910" s="4"/>
      <c r="J2910" s="14"/>
    </row>
    <row r="2911" spans="6:10" ht="12.75">
      <c r="F2911" s="17"/>
      <c r="G2911" s="19"/>
      <c r="H2911" s="23"/>
      <c r="I2911" s="4"/>
      <c r="J2911" s="14"/>
    </row>
    <row r="2912" spans="6:10" ht="12.75">
      <c r="F2912" s="17"/>
      <c r="G2912" s="19"/>
      <c r="H2912" s="23"/>
      <c r="I2912" s="4"/>
      <c r="J2912" s="14"/>
    </row>
    <row r="2913" spans="6:10" ht="12.75">
      <c r="F2913" s="17"/>
      <c r="G2913" s="19"/>
      <c r="H2913" s="23"/>
      <c r="I2913" s="4"/>
      <c r="J2913" s="14"/>
    </row>
    <row r="2914" spans="6:10" ht="12.75">
      <c r="F2914" s="17"/>
      <c r="G2914" s="19"/>
      <c r="H2914" s="23"/>
      <c r="I2914" s="4"/>
      <c r="J2914" s="14"/>
    </row>
    <row r="2915" spans="6:10" ht="12.75">
      <c r="F2915" s="17"/>
      <c r="G2915" s="19"/>
      <c r="H2915" s="23"/>
      <c r="I2915" s="4"/>
      <c r="J2915" s="14"/>
    </row>
    <row r="2916" spans="6:10" ht="12.75">
      <c r="F2916" s="17"/>
      <c r="G2916" s="19"/>
      <c r="H2916" s="23"/>
      <c r="I2916" s="4"/>
      <c r="J2916" s="14"/>
    </row>
    <row r="2917" spans="6:10" ht="12.75">
      <c r="F2917" s="17"/>
      <c r="G2917" s="19"/>
      <c r="H2917" s="23"/>
      <c r="I2917" s="4"/>
      <c r="J2917" s="14"/>
    </row>
    <row r="2918" spans="6:10" ht="12.75">
      <c r="F2918" s="17"/>
      <c r="G2918" s="19"/>
      <c r="H2918" s="23"/>
      <c r="I2918" s="4"/>
      <c r="J2918" s="14"/>
    </row>
    <row r="2919" spans="6:10" ht="12.75">
      <c r="F2919" s="17"/>
      <c r="G2919" s="19"/>
      <c r="H2919" s="23"/>
      <c r="I2919" s="4"/>
      <c r="J2919" s="14"/>
    </row>
    <row r="2920" spans="6:10" ht="12.75">
      <c r="F2920" s="17"/>
      <c r="G2920" s="19"/>
      <c r="H2920" s="23"/>
      <c r="I2920" s="4"/>
      <c r="J2920" s="14"/>
    </row>
    <row r="2921" spans="6:10" ht="12.75">
      <c r="F2921" s="17"/>
      <c r="G2921" s="19"/>
      <c r="H2921" s="23"/>
      <c r="I2921" s="4"/>
      <c r="J2921" s="14"/>
    </row>
    <row r="2922" spans="6:10" ht="12.75">
      <c r="F2922" s="17"/>
      <c r="G2922" s="19"/>
      <c r="H2922" s="23"/>
      <c r="I2922" s="4"/>
      <c r="J2922" s="14"/>
    </row>
    <row r="2923" spans="6:10" ht="12.75">
      <c r="F2923" s="17"/>
      <c r="G2923" s="19"/>
      <c r="H2923" s="23"/>
      <c r="I2923" s="4"/>
      <c r="J2923" s="14"/>
    </row>
    <row r="2924" spans="6:10" ht="12.75">
      <c r="F2924" s="17"/>
      <c r="G2924" s="19"/>
      <c r="H2924" s="23"/>
      <c r="I2924" s="4"/>
      <c r="J2924" s="14"/>
    </row>
    <row r="2925" spans="6:10" ht="12.75">
      <c r="F2925" s="17"/>
      <c r="G2925" s="19"/>
      <c r="H2925" s="23"/>
      <c r="I2925" s="4"/>
      <c r="J2925" s="14"/>
    </row>
    <row r="2926" spans="6:10" ht="12.75">
      <c r="F2926" s="17"/>
      <c r="G2926" s="19"/>
      <c r="H2926" s="23"/>
      <c r="I2926" s="4"/>
      <c r="J2926" s="14"/>
    </row>
    <row r="2927" spans="6:10" ht="12.75">
      <c r="F2927" s="17"/>
      <c r="G2927" s="19"/>
      <c r="H2927" s="23"/>
      <c r="I2927" s="4"/>
      <c r="J2927" s="14"/>
    </row>
    <row r="2928" spans="6:10" ht="12.75">
      <c r="F2928" s="17"/>
      <c r="G2928" s="19"/>
      <c r="H2928" s="23"/>
      <c r="I2928" s="4"/>
      <c r="J2928" s="14"/>
    </row>
    <row r="2929" spans="6:10" ht="12.75">
      <c r="F2929" s="17"/>
      <c r="G2929" s="19"/>
      <c r="H2929" s="23"/>
      <c r="I2929" s="4"/>
      <c r="J2929" s="14"/>
    </row>
    <row r="2930" spans="6:10" ht="12.75">
      <c r="F2930" s="17"/>
      <c r="G2930" s="19"/>
      <c r="H2930" s="23"/>
      <c r="I2930" s="4"/>
      <c r="J2930" s="14"/>
    </row>
    <row r="2931" spans="6:10" ht="12.75">
      <c r="F2931" s="17"/>
      <c r="G2931" s="19"/>
      <c r="H2931" s="23"/>
      <c r="I2931" s="4"/>
      <c r="J2931" s="14"/>
    </row>
    <row r="2932" spans="6:10" ht="12.75">
      <c r="F2932" s="17"/>
      <c r="G2932" s="19"/>
      <c r="H2932" s="23"/>
      <c r="I2932" s="4"/>
      <c r="J2932" s="14"/>
    </row>
    <row r="2933" spans="6:10" ht="12.75">
      <c r="F2933" s="17"/>
      <c r="G2933" s="19"/>
      <c r="H2933" s="23"/>
      <c r="I2933" s="4"/>
      <c r="J2933" s="14"/>
    </row>
    <row r="2934" spans="6:10" ht="12.75">
      <c r="F2934" s="17"/>
      <c r="G2934" s="19"/>
      <c r="H2934" s="23"/>
      <c r="I2934" s="4"/>
      <c r="J2934" s="14"/>
    </row>
    <row r="2935" spans="6:10" ht="12.75">
      <c r="F2935" s="17"/>
      <c r="G2935" s="19"/>
      <c r="H2935" s="23"/>
      <c r="I2935" s="4"/>
      <c r="J2935" s="14"/>
    </row>
    <row r="2936" spans="6:10" ht="12.75">
      <c r="F2936" s="17"/>
      <c r="G2936" s="19"/>
      <c r="H2936" s="23"/>
      <c r="I2936" s="4"/>
      <c r="J2936" s="14"/>
    </row>
    <row r="2937" spans="6:10" ht="12.75">
      <c r="F2937" s="17"/>
      <c r="G2937" s="19"/>
      <c r="H2937" s="23"/>
      <c r="I2937" s="4"/>
      <c r="J2937" s="14"/>
    </row>
    <row r="2938" spans="6:10" ht="12.75">
      <c r="F2938" s="17"/>
      <c r="G2938" s="19"/>
      <c r="H2938" s="23"/>
      <c r="I2938" s="4"/>
      <c r="J2938" s="14"/>
    </row>
    <row r="2939" spans="6:10" ht="12.75">
      <c r="F2939" s="17"/>
      <c r="G2939" s="19"/>
      <c r="H2939" s="23"/>
      <c r="I2939" s="4"/>
      <c r="J2939" s="14"/>
    </row>
    <row r="2940" spans="6:10" ht="12.75">
      <c r="F2940" s="17"/>
      <c r="G2940" s="19"/>
      <c r="H2940" s="23"/>
      <c r="I2940" s="4"/>
      <c r="J2940" s="14"/>
    </row>
    <row r="2941" spans="6:10" ht="12.75">
      <c r="F2941" s="17"/>
      <c r="G2941" s="19"/>
      <c r="H2941" s="23"/>
      <c r="I2941" s="4"/>
      <c r="J2941" s="14"/>
    </row>
    <row r="2942" spans="6:10" ht="12.75">
      <c r="F2942" s="17"/>
      <c r="G2942" s="19"/>
      <c r="H2942" s="23"/>
      <c r="I2942" s="4"/>
      <c r="J2942" s="14"/>
    </row>
    <row r="2943" spans="6:10" ht="12.75">
      <c r="F2943" s="17"/>
      <c r="G2943" s="19"/>
      <c r="H2943" s="23"/>
      <c r="I2943" s="4"/>
      <c r="J2943" s="14"/>
    </row>
    <row r="2944" spans="6:10" ht="12.75">
      <c r="F2944" s="17"/>
      <c r="G2944" s="19"/>
      <c r="H2944" s="23"/>
      <c r="I2944" s="4"/>
      <c r="J2944" s="14"/>
    </row>
    <row r="2945" spans="6:10" ht="12.75">
      <c r="F2945" s="17"/>
      <c r="G2945" s="19"/>
      <c r="H2945" s="23"/>
      <c r="I2945" s="4"/>
      <c r="J2945" s="14"/>
    </row>
    <row r="2946" spans="6:10" ht="12.75">
      <c r="F2946" s="17"/>
      <c r="G2946" s="19"/>
      <c r="H2946" s="23"/>
      <c r="I2946" s="4"/>
      <c r="J2946" s="14"/>
    </row>
    <row r="2947" spans="6:10" ht="12.75">
      <c r="F2947" s="17"/>
      <c r="G2947" s="19"/>
      <c r="H2947" s="23"/>
      <c r="I2947" s="4"/>
      <c r="J2947" s="14"/>
    </row>
    <row r="2948" spans="6:10" ht="12.75">
      <c r="F2948" s="17"/>
      <c r="G2948" s="19"/>
      <c r="H2948" s="23"/>
      <c r="I2948" s="4"/>
      <c r="J2948" s="14"/>
    </row>
    <row r="2949" spans="6:10" ht="12.75">
      <c r="F2949" s="17"/>
      <c r="G2949" s="19"/>
      <c r="H2949" s="23"/>
      <c r="I2949" s="4"/>
      <c r="J2949" s="14"/>
    </row>
    <row r="2950" spans="6:10" ht="12.75">
      <c r="F2950" s="17"/>
      <c r="G2950" s="19"/>
      <c r="H2950" s="23"/>
      <c r="I2950" s="4"/>
      <c r="J2950" s="14"/>
    </row>
    <row r="2951" spans="6:10" ht="12.75">
      <c r="F2951" s="17"/>
      <c r="G2951" s="19"/>
      <c r="H2951" s="23"/>
      <c r="I2951" s="4"/>
      <c r="J2951" s="14"/>
    </row>
    <row r="2952" spans="6:10" ht="12.75">
      <c r="F2952" s="17"/>
      <c r="G2952" s="19"/>
      <c r="H2952" s="23"/>
      <c r="I2952" s="4"/>
      <c r="J2952" s="14"/>
    </row>
    <row r="2953" spans="6:10" ht="12.75">
      <c r="F2953" s="17"/>
      <c r="G2953" s="19"/>
      <c r="H2953" s="23"/>
      <c r="I2953" s="4"/>
      <c r="J2953" s="14"/>
    </row>
    <row r="2954" spans="6:10" ht="12.75">
      <c r="F2954" s="17"/>
      <c r="G2954" s="19"/>
      <c r="H2954" s="23"/>
      <c r="I2954" s="4"/>
      <c r="J2954" s="14"/>
    </row>
    <row r="2955" spans="6:10" ht="12.75">
      <c r="F2955" s="17"/>
      <c r="G2955" s="19"/>
      <c r="H2955" s="23"/>
      <c r="I2955" s="4"/>
      <c r="J2955" s="14"/>
    </row>
    <row r="2956" spans="6:10" ht="12.75">
      <c r="F2956" s="17"/>
      <c r="G2956" s="19"/>
      <c r="H2956" s="23"/>
      <c r="I2956" s="4"/>
      <c r="J2956" s="14"/>
    </row>
    <row r="2957" spans="6:10" ht="12.75">
      <c r="F2957" s="17"/>
      <c r="G2957" s="19"/>
      <c r="H2957" s="23"/>
      <c r="I2957" s="4"/>
      <c r="J2957" s="14"/>
    </row>
    <row r="2958" spans="6:10" ht="12.75">
      <c r="F2958" s="17"/>
      <c r="G2958" s="19"/>
      <c r="H2958" s="23"/>
      <c r="I2958" s="4"/>
      <c r="J2958" s="14"/>
    </row>
    <row r="2959" spans="6:10" ht="12.75">
      <c r="F2959" s="17"/>
      <c r="G2959" s="19"/>
      <c r="H2959" s="23"/>
      <c r="I2959" s="4"/>
      <c r="J2959" s="14"/>
    </row>
    <row r="2960" spans="6:10" ht="12.75">
      <c r="F2960" s="17"/>
      <c r="G2960" s="19"/>
      <c r="H2960" s="23"/>
      <c r="I2960" s="4"/>
      <c r="J2960" s="14"/>
    </row>
    <row r="2961" spans="6:10" ht="12.75">
      <c r="F2961" s="17"/>
      <c r="G2961" s="19"/>
      <c r="H2961" s="23"/>
      <c r="I2961" s="4"/>
      <c r="J2961" s="14"/>
    </row>
    <row r="2962" spans="6:10" ht="12.75">
      <c r="F2962" s="17"/>
      <c r="G2962" s="19"/>
      <c r="H2962" s="23"/>
      <c r="I2962" s="4"/>
      <c r="J2962" s="14"/>
    </row>
    <row r="2963" spans="6:10" ht="12.75">
      <c r="F2963" s="17"/>
      <c r="G2963" s="19"/>
      <c r="H2963" s="23"/>
      <c r="I2963" s="4"/>
      <c r="J2963" s="14"/>
    </row>
    <row r="2964" spans="6:10" ht="12.75">
      <c r="F2964" s="17"/>
      <c r="G2964" s="19"/>
      <c r="H2964" s="23"/>
      <c r="I2964" s="4"/>
      <c r="J2964" s="14"/>
    </row>
    <row r="2965" spans="6:10" ht="12.75">
      <c r="F2965" s="17"/>
      <c r="G2965" s="19"/>
      <c r="H2965" s="23"/>
      <c r="I2965" s="4"/>
      <c r="J2965" s="14"/>
    </row>
    <row r="2966" spans="6:10" ht="12.75">
      <c r="F2966" s="17"/>
      <c r="G2966" s="19"/>
      <c r="H2966" s="23"/>
      <c r="I2966" s="4"/>
      <c r="J2966" s="14"/>
    </row>
    <row r="2967" spans="6:10" ht="12.75">
      <c r="F2967" s="17"/>
      <c r="G2967" s="19"/>
      <c r="H2967" s="23"/>
      <c r="I2967" s="4"/>
      <c r="J2967" s="14"/>
    </row>
    <row r="2968" spans="6:10" ht="12.75">
      <c r="F2968" s="17"/>
      <c r="G2968" s="19"/>
      <c r="H2968" s="23"/>
      <c r="I2968" s="4"/>
      <c r="J2968" s="14"/>
    </row>
    <row r="2969" spans="6:10" ht="12.75">
      <c r="F2969" s="17"/>
      <c r="G2969" s="19"/>
      <c r="H2969" s="23"/>
      <c r="I2969" s="4"/>
      <c r="J2969" s="14"/>
    </row>
    <row r="2970" spans="6:10" ht="12.75">
      <c r="F2970" s="17"/>
      <c r="G2970" s="19"/>
      <c r="H2970" s="23"/>
      <c r="I2970" s="4"/>
      <c r="J2970" s="14"/>
    </row>
    <row r="2971" spans="6:10" ht="12.75">
      <c r="F2971" s="17"/>
      <c r="G2971" s="19"/>
      <c r="H2971" s="23"/>
      <c r="I2971" s="4"/>
      <c r="J2971" s="14"/>
    </row>
    <row r="2972" spans="6:10" ht="12.75">
      <c r="F2972" s="17"/>
      <c r="G2972" s="19"/>
      <c r="H2972" s="23"/>
      <c r="I2972" s="4"/>
      <c r="J2972" s="14"/>
    </row>
    <row r="2973" spans="6:10" ht="12.75">
      <c r="F2973" s="17"/>
      <c r="G2973" s="19"/>
      <c r="H2973" s="23"/>
      <c r="I2973" s="4"/>
      <c r="J2973" s="14"/>
    </row>
    <row r="2974" spans="6:10" ht="12.75">
      <c r="F2974" s="17"/>
      <c r="G2974" s="19"/>
      <c r="H2974" s="23"/>
      <c r="I2974" s="4"/>
      <c r="J2974" s="14"/>
    </row>
    <row r="2975" spans="6:10" ht="12.75">
      <c r="F2975" s="17"/>
      <c r="G2975" s="19"/>
      <c r="H2975" s="23"/>
      <c r="I2975" s="4"/>
      <c r="J2975" s="14"/>
    </row>
    <row r="2976" spans="6:10" ht="12.75">
      <c r="F2976" s="17"/>
      <c r="G2976" s="19"/>
      <c r="H2976" s="23"/>
      <c r="I2976" s="4"/>
      <c r="J2976" s="14"/>
    </row>
    <row r="2977" spans="6:10" ht="12.75">
      <c r="F2977" s="17"/>
      <c r="G2977" s="19"/>
      <c r="H2977" s="23"/>
      <c r="I2977" s="4"/>
      <c r="J2977" s="14"/>
    </row>
    <row r="2978" spans="6:10" ht="12.75">
      <c r="F2978" s="17"/>
      <c r="G2978" s="19"/>
      <c r="H2978" s="23"/>
      <c r="I2978" s="4"/>
      <c r="J2978" s="14"/>
    </row>
    <row r="2979" spans="6:10" ht="12.75">
      <c r="F2979" s="17"/>
      <c r="G2979" s="19"/>
      <c r="H2979" s="23"/>
      <c r="I2979" s="4"/>
      <c r="J2979" s="14"/>
    </row>
    <row r="2980" spans="6:10" ht="12.75">
      <c r="F2980" s="17"/>
      <c r="G2980" s="19"/>
      <c r="H2980" s="23"/>
      <c r="I2980" s="4"/>
      <c r="J2980" s="14"/>
    </row>
    <row r="2981" spans="6:10" ht="12.75">
      <c r="F2981" s="17"/>
      <c r="G2981" s="19"/>
      <c r="H2981" s="23"/>
      <c r="I2981" s="4"/>
      <c r="J2981" s="14"/>
    </row>
    <row r="2982" spans="6:10" ht="12.75">
      <c r="F2982" s="17"/>
      <c r="G2982" s="19"/>
      <c r="H2982" s="23"/>
      <c r="I2982" s="4"/>
      <c r="J2982" s="14"/>
    </row>
    <row r="2983" spans="6:10" ht="12.75">
      <c r="F2983" s="17"/>
      <c r="G2983" s="19"/>
      <c r="H2983" s="23"/>
      <c r="I2983" s="4"/>
      <c r="J2983" s="14"/>
    </row>
    <row r="2984" spans="6:10" ht="12.75">
      <c r="F2984" s="17"/>
      <c r="G2984" s="19"/>
      <c r="H2984" s="23"/>
      <c r="I2984" s="4"/>
      <c r="J2984" s="14"/>
    </row>
    <row r="2985" spans="6:10" ht="12.75">
      <c r="F2985" s="17"/>
      <c r="G2985" s="19"/>
      <c r="H2985" s="23"/>
      <c r="I2985" s="4"/>
      <c r="J2985" s="14"/>
    </row>
    <row r="2986" spans="6:10" ht="12.75">
      <c r="F2986" s="17"/>
      <c r="G2986" s="19"/>
      <c r="H2986" s="23"/>
      <c r="I2986" s="4"/>
      <c r="J2986" s="14"/>
    </row>
    <row r="2987" spans="6:10" ht="12.75">
      <c r="F2987" s="17"/>
      <c r="G2987" s="19"/>
      <c r="H2987" s="23"/>
      <c r="I2987" s="4"/>
      <c r="J2987" s="14"/>
    </row>
    <row r="2988" spans="6:10" ht="12.75">
      <c r="F2988" s="17"/>
      <c r="G2988" s="19"/>
      <c r="H2988" s="23"/>
      <c r="I2988" s="4"/>
      <c r="J2988" s="14"/>
    </row>
    <row r="2989" spans="6:10" ht="12.75">
      <c r="F2989" s="17"/>
      <c r="G2989" s="19"/>
      <c r="H2989" s="23"/>
      <c r="I2989" s="4"/>
      <c r="J2989" s="14"/>
    </row>
    <row r="2990" spans="6:10" ht="12.75">
      <c r="F2990" s="17"/>
      <c r="G2990" s="19"/>
      <c r="H2990" s="23"/>
      <c r="I2990" s="4"/>
      <c r="J2990" s="14"/>
    </row>
    <row r="2991" spans="6:10" ht="12.75">
      <c r="F2991" s="17"/>
      <c r="G2991" s="19"/>
      <c r="H2991" s="23"/>
      <c r="I2991" s="4"/>
      <c r="J2991" s="14"/>
    </row>
    <row r="2992" spans="6:10" ht="12.75">
      <c r="F2992" s="17"/>
      <c r="G2992" s="19"/>
      <c r="H2992" s="23"/>
      <c r="I2992" s="4"/>
      <c r="J2992" s="14"/>
    </row>
    <row r="2993" spans="6:10" ht="12.75">
      <c r="F2993" s="17"/>
      <c r="G2993" s="19"/>
      <c r="H2993" s="23"/>
      <c r="I2993" s="4"/>
      <c r="J2993" s="14"/>
    </row>
    <row r="2994" spans="6:10" ht="12.75">
      <c r="F2994" s="17"/>
      <c r="G2994" s="19"/>
      <c r="H2994" s="23"/>
      <c r="I2994" s="4"/>
      <c r="J2994" s="14"/>
    </row>
    <row r="2995" spans="6:10" ht="12.75">
      <c r="F2995" s="17"/>
      <c r="G2995" s="19"/>
      <c r="H2995" s="23"/>
      <c r="I2995" s="4"/>
      <c r="J2995" s="14"/>
    </row>
    <row r="2996" spans="6:10" ht="12.75">
      <c r="F2996" s="17"/>
      <c r="G2996" s="19"/>
      <c r="H2996" s="23"/>
      <c r="I2996" s="4"/>
      <c r="J2996" s="14"/>
    </row>
    <row r="2997" spans="6:10" ht="12.75">
      <c r="F2997" s="17"/>
      <c r="G2997" s="19"/>
      <c r="H2997" s="23"/>
      <c r="I2997" s="4"/>
      <c r="J2997" s="14"/>
    </row>
    <row r="2998" spans="6:10" ht="12.75">
      <c r="F2998" s="17"/>
      <c r="G2998" s="19"/>
      <c r="H2998" s="23"/>
      <c r="I2998" s="4"/>
      <c r="J2998" s="14"/>
    </row>
    <row r="2999" spans="6:10" ht="12.75">
      <c r="F2999" s="17"/>
      <c r="G2999" s="19"/>
      <c r="H2999" s="23"/>
      <c r="I2999" s="4"/>
      <c r="J2999" s="14"/>
    </row>
    <row r="3000" spans="6:10" ht="12.75">
      <c r="F3000" s="17"/>
      <c r="G3000" s="19"/>
      <c r="H3000" s="23"/>
      <c r="I3000" s="4"/>
      <c r="J3000" s="14"/>
    </row>
    <row r="3001" spans="6:10" ht="12.75">
      <c r="F3001" s="17"/>
      <c r="G3001" s="19"/>
      <c r="H3001" s="23"/>
      <c r="I3001" s="4"/>
      <c r="J3001" s="14"/>
    </row>
    <row r="3002" spans="6:10" ht="12.75">
      <c r="F3002" s="17"/>
      <c r="G3002" s="19"/>
      <c r="H3002" s="23"/>
      <c r="I3002" s="4"/>
      <c r="J3002" s="14"/>
    </row>
    <row r="3003" spans="6:10" ht="12.75">
      <c r="F3003" s="17"/>
      <c r="G3003" s="19"/>
      <c r="H3003" s="23"/>
      <c r="I3003" s="4"/>
      <c r="J3003" s="14"/>
    </row>
    <row r="3004" spans="6:10" ht="12.75">
      <c r="F3004" s="17"/>
      <c r="G3004" s="19"/>
      <c r="H3004" s="23"/>
      <c r="I3004" s="4"/>
      <c r="J3004" s="14"/>
    </row>
    <row r="3005" spans="6:10" ht="12.75">
      <c r="F3005" s="17"/>
      <c r="G3005" s="19"/>
      <c r="H3005" s="23"/>
      <c r="I3005" s="4"/>
      <c r="J3005" s="14"/>
    </row>
    <row r="3006" spans="6:10" ht="12.75">
      <c r="F3006" s="17"/>
      <c r="G3006" s="19"/>
      <c r="H3006" s="23"/>
      <c r="I3006" s="4"/>
      <c r="J3006" s="14"/>
    </row>
    <row r="3007" spans="6:10" ht="12.75">
      <c r="F3007" s="17"/>
      <c r="G3007" s="19"/>
      <c r="H3007" s="23"/>
      <c r="I3007" s="4"/>
      <c r="J3007" s="14"/>
    </row>
    <row r="3008" spans="6:10" ht="12.75">
      <c r="F3008" s="17"/>
      <c r="G3008" s="19"/>
      <c r="H3008" s="23"/>
      <c r="I3008" s="4"/>
      <c r="J3008" s="14"/>
    </row>
    <row r="3009" spans="6:10" ht="12.75">
      <c r="F3009" s="17"/>
      <c r="G3009" s="19"/>
      <c r="H3009" s="23"/>
      <c r="I3009" s="4"/>
      <c r="J3009" s="14"/>
    </row>
    <row r="3010" spans="6:10" ht="12.75">
      <c r="F3010" s="17"/>
      <c r="G3010" s="19"/>
      <c r="H3010" s="23"/>
      <c r="I3010" s="4"/>
      <c r="J3010" s="14"/>
    </row>
    <row r="3011" spans="6:10" ht="12.75">
      <c r="F3011" s="17"/>
      <c r="G3011" s="19"/>
      <c r="H3011" s="23"/>
      <c r="I3011" s="4"/>
      <c r="J3011" s="14"/>
    </row>
    <row r="3012" spans="6:10" ht="12.75">
      <c r="F3012" s="17"/>
      <c r="G3012" s="19"/>
      <c r="H3012" s="23"/>
      <c r="I3012" s="4"/>
      <c r="J3012" s="14"/>
    </row>
    <row r="3013" spans="6:10" ht="12.75">
      <c r="F3013" s="17"/>
      <c r="G3013" s="19"/>
      <c r="H3013" s="23"/>
      <c r="I3013" s="4"/>
      <c r="J3013" s="14"/>
    </row>
    <row r="3014" spans="6:10" ht="12.75">
      <c r="F3014" s="17"/>
      <c r="G3014" s="19"/>
      <c r="H3014" s="23"/>
      <c r="I3014" s="4"/>
      <c r="J3014" s="14"/>
    </row>
    <row r="3015" spans="6:10" ht="12.75">
      <c r="F3015" s="17"/>
      <c r="G3015" s="19"/>
      <c r="H3015" s="23"/>
      <c r="I3015" s="4"/>
      <c r="J3015" s="14"/>
    </row>
    <row r="3016" spans="6:10" ht="12.75">
      <c r="F3016" s="17"/>
      <c r="G3016" s="19"/>
      <c r="H3016" s="23"/>
      <c r="I3016" s="4"/>
      <c r="J3016" s="14"/>
    </row>
    <row r="3017" spans="6:10" ht="12.75">
      <c r="F3017" s="17"/>
      <c r="G3017" s="19"/>
      <c r="H3017" s="23"/>
      <c r="I3017" s="4"/>
      <c r="J3017" s="14"/>
    </row>
    <row r="3018" spans="6:10" ht="12.75">
      <c r="F3018" s="17"/>
      <c r="G3018" s="19"/>
      <c r="H3018" s="23"/>
      <c r="I3018" s="4"/>
      <c r="J3018" s="14"/>
    </row>
    <row r="3019" spans="6:10" ht="12.75">
      <c r="F3019" s="17"/>
      <c r="G3019" s="19"/>
      <c r="H3019" s="23"/>
      <c r="I3019" s="4"/>
      <c r="J3019" s="14"/>
    </row>
    <row r="3020" spans="6:10" ht="12.75">
      <c r="F3020" s="17"/>
      <c r="G3020" s="19"/>
      <c r="H3020" s="23"/>
      <c r="I3020" s="4"/>
      <c r="J3020" s="14"/>
    </row>
    <row r="3021" spans="6:10" ht="12.75">
      <c r="F3021" s="17"/>
      <c r="G3021" s="19"/>
      <c r="H3021" s="23"/>
      <c r="I3021" s="4"/>
      <c r="J3021" s="14"/>
    </row>
    <row r="3022" spans="6:10" ht="12.75">
      <c r="F3022" s="17"/>
      <c r="G3022" s="19"/>
      <c r="H3022" s="23"/>
      <c r="I3022" s="4"/>
      <c r="J3022" s="14"/>
    </row>
    <row r="3023" spans="6:10" ht="12.75">
      <c r="F3023" s="17"/>
      <c r="G3023" s="19"/>
      <c r="H3023" s="23"/>
      <c r="I3023" s="4"/>
      <c r="J3023" s="14"/>
    </row>
    <row r="3024" spans="6:10" ht="12.75">
      <c r="F3024" s="17"/>
      <c r="G3024" s="19"/>
      <c r="H3024" s="23"/>
      <c r="I3024" s="4"/>
      <c r="J3024" s="14"/>
    </row>
    <row r="3025" spans="6:10" ht="12.75">
      <c r="F3025" s="17"/>
      <c r="G3025" s="19"/>
      <c r="H3025" s="23"/>
      <c r="I3025" s="4"/>
      <c r="J3025" s="14"/>
    </row>
    <row r="3026" spans="6:10" ht="12.75">
      <c r="F3026" s="17"/>
      <c r="G3026" s="19"/>
      <c r="H3026" s="23"/>
      <c r="I3026" s="4"/>
      <c r="J3026" s="14"/>
    </row>
    <row r="3027" spans="6:10" ht="12.75">
      <c r="F3027" s="17"/>
      <c r="G3027" s="19"/>
      <c r="H3027" s="23"/>
      <c r="I3027" s="4"/>
      <c r="J3027" s="14"/>
    </row>
    <row r="3028" spans="6:10" ht="12.75">
      <c r="F3028" s="17"/>
      <c r="G3028" s="19"/>
      <c r="H3028" s="23"/>
      <c r="I3028" s="4"/>
      <c r="J3028" s="14"/>
    </row>
    <row r="3029" spans="6:10" ht="12.75">
      <c r="F3029" s="17"/>
      <c r="G3029" s="19"/>
      <c r="H3029" s="23"/>
      <c r="I3029" s="4"/>
      <c r="J3029" s="14"/>
    </row>
    <row r="3030" spans="6:10" ht="12.75">
      <c r="F3030" s="17"/>
      <c r="G3030" s="19"/>
      <c r="H3030" s="23"/>
      <c r="I3030" s="4"/>
      <c r="J3030" s="14"/>
    </row>
    <row r="3031" spans="6:10" ht="12.75">
      <c r="F3031" s="17"/>
      <c r="G3031" s="19"/>
      <c r="H3031" s="23"/>
      <c r="I3031" s="4"/>
      <c r="J3031" s="14"/>
    </row>
    <row r="3032" spans="6:10" ht="12.75">
      <c r="F3032" s="17"/>
      <c r="G3032" s="19"/>
      <c r="H3032" s="23"/>
      <c r="I3032" s="4"/>
      <c r="J3032" s="14"/>
    </row>
    <row r="3033" spans="6:10" ht="12.75">
      <c r="F3033" s="17"/>
      <c r="G3033" s="19"/>
      <c r="H3033" s="23"/>
      <c r="I3033" s="4"/>
      <c r="J3033" s="14"/>
    </row>
    <row r="3034" spans="6:10" ht="12.75">
      <c r="F3034" s="17"/>
      <c r="G3034" s="19"/>
      <c r="H3034" s="23"/>
      <c r="I3034" s="4"/>
      <c r="J3034" s="14"/>
    </row>
    <row r="3035" spans="6:10" ht="12.75">
      <c r="F3035" s="17"/>
      <c r="G3035" s="19"/>
      <c r="H3035" s="23"/>
      <c r="I3035" s="4"/>
      <c r="J3035" s="14"/>
    </row>
    <row r="3036" spans="6:10" ht="12.75">
      <c r="F3036" s="17"/>
      <c r="G3036" s="19"/>
      <c r="H3036" s="23"/>
      <c r="I3036" s="4"/>
      <c r="J3036" s="14"/>
    </row>
    <row r="3037" spans="6:10" ht="12.75">
      <c r="F3037" s="17"/>
      <c r="G3037" s="19"/>
      <c r="H3037" s="23"/>
      <c r="I3037" s="4"/>
      <c r="J3037" s="14"/>
    </row>
    <row r="3038" spans="6:10" ht="12.75">
      <c r="F3038" s="17"/>
      <c r="G3038" s="19"/>
      <c r="H3038" s="23"/>
      <c r="I3038" s="4"/>
      <c r="J3038" s="14"/>
    </row>
    <row r="3039" spans="6:10" ht="12.75">
      <c r="F3039" s="17"/>
      <c r="G3039" s="19"/>
      <c r="H3039" s="23"/>
      <c r="I3039" s="4"/>
      <c r="J3039" s="14"/>
    </row>
    <row r="3040" spans="6:10" ht="12.75">
      <c r="F3040" s="17"/>
      <c r="G3040" s="19"/>
      <c r="H3040" s="23"/>
      <c r="I3040" s="4"/>
      <c r="J3040" s="14"/>
    </row>
    <row r="3041" spans="6:10" ht="12.75">
      <c r="F3041" s="17"/>
      <c r="G3041" s="19"/>
      <c r="H3041" s="23"/>
      <c r="I3041" s="4"/>
      <c r="J3041" s="14"/>
    </row>
    <row r="3042" spans="6:10" ht="12.75">
      <c r="F3042" s="17"/>
      <c r="G3042" s="19"/>
      <c r="H3042" s="23"/>
      <c r="I3042" s="4"/>
      <c r="J3042" s="14"/>
    </row>
    <row r="3043" spans="6:10" ht="12.75">
      <c r="F3043" s="17"/>
      <c r="G3043" s="19"/>
      <c r="H3043" s="23"/>
      <c r="I3043" s="4"/>
      <c r="J3043" s="14"/>
    </row>
    <row r="3044" spans="6:10" ht="12.75">
      <c r="F3044" s="17"/>
      <c r="G3044" s="19"/>
      <c r="H3044" s="23"/>
      <c r="I3044" s="4"/>
      <c r="J3044" s="14"/>
    </row>
    <row r="3045" spans="6:10" ht="12.75">
      <c r="F3045" s="17"/>
      <c r="G3045" s="19"/>
      <c r="H3045" s="23"/>
      <c r="I3045" s="4"/>
      <c r="J3045" s="14"/>
    </row>
    <row r="3046" spans="6:10" ht="12.75">
      <c r="F3046" s="17"/>
      <c r="G3046" s="19"/>
      <c r="H3046" s="23"/>
      <c r="I3046" s="4"/>
      <c r="J3046" s="14"/>
    </row>
    <row r="3047" spans="6:10" ht="12.75">
      <c r="F3047" s="17"/>
      <c r="G3047" s="19"/>
      <c r="H3047" s="23"/>
      <c r="I3047" s="4"/>
      <c r="J3047" s="14"/>
    </row>
    <row r="3048" spans="6:10" ht="12.75">
      <c r="F3048" s="17"/>
      <c r="G3048" s="19"/>
      <c r="H3048" s="23"/>
      <c r="I3048" s="4"/>
      <c r="J3048" s="14"/>
    </row>
    <row r="3049" spans="6:10" ht="12.75">
      <c r="F3049" s="17"/>
      <c r="G3049" s="19"/>
      <c r="H3049" s="23"/>
      <c r="I3049" s="4"/>
      <c r="J3049" s="14"/>
    </row>
    <row r="3050" spans="6:10" ht="12.75">
      <c r="F3050" s="17"/>
      <c r="G3050" s="19"/>
      <c r="H3050" s="23"/>
      <c r="I3050" s="4"/>
      <c r="J3050" s="14"/>
    </row>
    <row r="3051" spans="6:10" ht="12.75">
      <c r="F3051" s="17"/>
      <c r="G3051" s="19"/>
      <c r="H3051" s="23"/>
      <c r="I3051" s="4"/>
      <c r="J3051" s="14"/>
    </row>
    <row r="3052" spans="6:10" ht="12.75">
      <c r="F3052" s="17"/>
      <c r="G3052" s="19"/>
      <c r="H3052" s="23"/>
      <c r="I3052" s="4"/>
      <c r="J3052" s="14"/>
    </row>
    <row r="3053" spans="6:10" ht="12.75">
      <c r="F3053" s="17"/>
      <c r="G3053" s="19"/>
      <c r="H3053" s="23"/>
      <c r="I3053" s="4"/>
      <c r="J3053" s="14"/>
    </row>
    <row r="3054" spans="6:10" ht="12.75">
      <c r="F3054" s="17"/>
      <c r="G3054" s="19"/>
      <c r="H3054" s="23"/>
      <c r="I3054" s="4"/>
      <c r="J3054" s="14"/>
    </row>
    <row r="3055" spans="6:10" ht="12.75">
      <c r="F3055" s="17"/>
      <c r="G3055" s="19"/>
      <c r="H3055" s="23"/>
      <c r="I3055" s="4"/>
      <c r="J3055" s="14"/>
    </row>
    <row r="3056" spans="6:10" ht="12.75">
      <c r="F3056" s="17"/>
      <c r="G3056" s="19"/>
      <c r="H3056" s="23"/>
      <c r="I3056" s="4"/>
      <c r="J3056" s="14"/>
    </row>
    <row r="3057" spans="6:10" ht="12.75">
      <c r="F3057" s="17"/>
      <c r="G3057" s="19"/>
      <c r="H3057" s="23"/>
      <c r="I3057" s="4"/>
      <c r="J3057" s="14"/>
    </row>
    <row r="3058" spans="6:10" ht="12.75">
      <c r="F3058" s="17"/>
      <c r="G3058" s="19"/>
      <c r="H3058" s="23"/>
      <c r="I3058" s="4"/>
      <c r="J3058" s="14"/>
    </row>
    <row r="3059" spans="6:10" ht="12.75">
      <c r="F3059" s="17"/>
      <c r="G3059" s="19"/>
      <c r="H3059" s="23"/>
      <c r="I3059" s="4"/>
      <c r="J3059" s="14"/>
    </row>
    <row r="3060" spans="6:10" ht="12.75">
      <c r="F3060" s="17"/>
      <c r="G3060" s="19"/>
      <c r="H3060" s="23"/>
      <c r="I3060" s="4"/>
      <c r="J3060" s="14"/>
    </row>
    <row r="3061" spans="6:10" ht="12.75">
      <c r="F3061" s="17"/>
      <c r="G3061" s="19"/>
      <c r="H3061" s="23"/>
      <c r="I3061" s="4"/>
      <c r="J3061" s="14"/>
    </row>
    <row r="3062" spans="6:10" ht="12.75">
      <c r="F3062" s="17"/>
      <c r="G3062" s="19"/>
      <c r="H3062" s="23"/>
      <c r="I3062" s="4"/>
      <c r="J3062" s="14"/>
    </row>
    <row r="3063" spans="6:10" ht="12.75">
      <c r="F3063" s="17"/>
      <c r="G3063" s="19"/>
      <c r="H3063" s="23"/>
      <c r="I3063" s="4"/>
      <c r="J3063" s="14"/>
    </row>
    <row r="3064" spans="6:10" ht="12.75">
      <c r="F3064" s="17"/>
      <c r="G3064" s="19"/>
      <c r="H3064" s="23"/>
      <c r="I3064" s="4"/>
      <c r="J3064" s="14"/>
    </row>
    <row r="3065" spans="6:10" ht="12.75">
      <c r="F3065" s="17"/>
      <c r="G3065" s="19"/>
      <c r="H3065" s="23"/>
      <c r="I3065" s="4"/>
      <c r="J3065" s="14"/>
    </row>
    <row r="3066" spans="6:10" ht="12.75">
      <c r="F3066" s="17"/>
      <c r="G3066" s="19"/>
      <c r="H3066" s="23"/>
      <c r="I3066" s="4"/>
      <c r="J3066" s="14"/>
    </row>
    <row r="3067" spans="6:10" ht="12.75">
      <c r="F3067" s="17"/>
      <c r="G3067" s="19"/>
      <c r="H3067" s="23"/>
      <c r="I3067" s="4"/>
      <c r="J3067" s="14"/>
    </row>
    <row r="3068" spans="6:10" ht="12.75">
      <c r="F3068" s="17"/>
      <c r="G3068" s="19"/>
      <c r="H3068" s="23"/>
      <c r="I3068" s="4"/>
      <c r="J3068" s="14"/>
    </row>
    <row r="3069" spans="6:10" ht="12.75">
      <c r="F3069" s="17"/>
      <c r="G3069" s="19"/>
      <c r="H3069" s="23"/>
      <c r="I3069" s="4"/>
      <c r="J3069" s="14"/>
    </row>
    <row r="3070" spans="6:10" ht="12.75">
      <c r="F3070" s="17"/>
      <c r="G3070" s="19"/>
      <c r="H3070" s="23"/>
      <c r="I3070" s="4"/>
      <c r="J3070" s="14"/>
    </row>
    <row r="3071" spans="6:10" ht="12.75">
      <c r="F3071" s="17"/>
      <c r="G3071" s="19"/>
      <c r="H3071" s="23"/>
      <c r="I3071" s="4"/>
      <c r="J3071" s="14"/>
    </row>
    <row r="3072" spans="6:10" ht="12.75">
      <c r="F3072" s="17"/>
      <c r="G3072" s="19"/>
      <c r="H3072" s="23"/>
      <c r="I3072" s="4"/>
      <c r="J3072" s="14"/>
    </row>
    <row r="3073" spans="6:10" ht="12.75">
      <c r="F3073" s="17"/>
      <c r="G3073" s="19"/>
      <c r="H3073" s="23"/>
      <c r="I3073" s="4"/>
      <c r="J3073" s="14"/>
    </row>
    <row r="3074" spans="6:10" ht="12.75">
      <c r="F3074" s="17"/>
      <c r="G3074" s="19"/>
      <c r="H3074" s="23"/>
      <c r="I3074" s="4"/>
      <c r="J3074" s="14"/>
    </row>
    <row r="3075" spans="6:10" ht="12.75">
      <c r="F3075" s="17"/>
      <c r="G3075" s="19"/>
      <c r="H3075" s="23"/>
      <c r="I3075" s="4"/>
      <c r="J3075" s="14"/>
    </row>
    <row r="3076" spans="6:10" ht="12.75">
      <c r="F3076" s="17"/>
      <c r="G3076" s="19"/>
      <c r="H3076" s="23"/>
      <c r="I3076" s="4"/>
      <c r="J3076" s="14"/>
    </row>
    <row r="3077" spans="6:10" ht="12.75">
      <c r="F3077" s="17"/>
      <c r="G3077" s="19"/>
      <c r="H3077" s="23"/>
      <c r="I3077" s="4"/>
      <c r="J3077" s="14"/>
    </row>
    <row r="3078" spans="6:10" ht="12.75">
      <c r="F3078" s="17"/>
      <c r="G3078" s="19"/>
      <c r="H3078" s="23"/>
      <c r="I3078" s="4"/>
      <c r="J3078" s="14"/>
    </row>
    <row r="3079" spans="6:10" ht="12.75">
      <c r="F3079" s="17"/>
      <c r="G3079" s="19"/>
      <c r="H3079" s="23"/>
      <c r="I3079" s="4"/>
      <c r="J3079" s="14"/>
    </row>
    <row r="3080" spans="6:10" ht="12.75">
      <c r="F3080" s="17"/>
      <c r="G3080" s="19"/>
      <c r="H3080" s="23"/>
      <c r="I3080" s="4"/>
      <c r="J3080" s="14"/>
    </row>
    <row r="3081" spans="6:10" ht="12.75">
      <c r="F3081" s="17"/>
      <c r="G3081" s="19"/>
      <c r="H3081" s="23"/>
      <c r="I3081" s="4"/>
      <c r="J3081" s="14"/>
    </row>
    <row r="3082" spans="6:10" ht="12.75">
      <c r="F3082" s="17"/>
      <c r="G3082" s="19"/>
      <c r="H3082" s="23"/>
      <c r="I3082" s="4"/>
      <c r="J3082" s="14"/>
    </row>
    <row r="3083" spans="6:10" ht="12.75">
      <c r="F3083" s="17"/>
      <c r="G3083" s="19"/>
      <c r="H3083" s="23"/>
      <c r="I3083" s="4"/>
      <c r="J3083" s="14"/>
    </row>
    <row r="3084" spans="6:10" ht="12.75">
      <c r="F3084" s="17"/>
      <c r="G3084" s="19"/>
      <c r="H3084" s="23"/>
      <c r="I3084" s="4"/>
      <c r="J3084" s="14"/>
    </row>
    <row r="3085" spans="6:10" ht="12.75">
      <c r="F3085" s="17"/>
      <c r="G3085" s="19"/>
      <c r="H3085" s="23"/>
      <c r="I3085" s="4"/>
      <c r="J3085" s="14"/>
    </row>
    <row r="3086" spans="6:10" ht="12.75">
      <c r="F3086" s="17"/>
      <c r="G3086" s="19"/>
      <c r="H3086" s="23"/>
      <c r="I3086" s="4"/>
      <c r="J3086" s="14"/>
    </row>
    <row r="3087" spans="6:10" ht="12.75">
      <c r="F3087" s="17"/>
      <c r="G3087" s="19"/>
      <c r="H3087" s="23"/>
      <c r="I3087" s="4"/>
      <c r="J3087" s="14"/>
    </row>
    <row r="3088" spans="6:10" ht="12.75">
      <c r="F3088" s="17"/>
      <c r="G3088" s="19"/>
      <c r="H3088" s="23"/>
      <c r="I3088" s="4"/>
      <c r="J3088" s="14"/>
    </row>
    <row r="3089" spans="6:10" ht="12.75">
      <c r="F3089" s="17"/>
      <c r="G3089" s="19"/>
      <c r="H3089" s="23"/>
      <c r="I3089" s="4"/>
      <c r="J3089" s="14"/>
    </row>
    <row r="3090" spans="6:10" ht="12.75">
      <c r="F3090" s="17"/>
      <c r="G3090" s="19"/>
      <c r="H3090" s="23"/>
      <c r="I3090" s="4"/>
      <c r="J3090" s="14"/>
    </row>
    <row r="3091" spans="6:10" ht="12.75">
      <c r="F3091" s="17"/>
      <c r="G3091" s="19"/>
      <c r="H3091" s="23"/>
      <c r="I3091" s="4"/>
      <c r="J3091" s="14"/>
    </row>
    <row r="3092" spans="6:10" ht="12.75">
      <c r="F3092" s="17"/>
      <c r="G3092" s="19"/>
      <c r="H3092" s="23"/>
      <c r="I3092" s="4"/>
      <c r="J3092" s="14"/>
    </row>
    <row r="3093" spans="6:10" ht="12.75">
      <c r="F3093" s="17"/>
      <c r="G3093" s="19"/>
      <c r="H3093" s="23"/>
      <c r="I3093" s="4"/>
      <c r="J3093" s="14"/>
    </row>
    <row r="3094" spans="6:10" ht="12.75">
      <c r="F3094" s="17"/>
      <c r="G3094" s="19"/>
      <c r="H3094" s="23"/>
      <c r="I3094" s="4"/>
      <c r="J3094" s="14"/>
    </row>
    <row r="3095" spans="6:10" ht="12.75">
      <c r="F3095" s="17"/>
      <c r="G3095" s="19"/>
      <c r="H3095" s="23"/>
      <c r="I3095" s="4"/>
      <c r="J3095" s="14"/>
    </row>
    <row r="3096" spans="6:10" ht="12.75">
      <c r="F3096" s="17"/>
      <c r="G3096" s="19"/>
      <c r="H3096" s="23"/>
      <c r="I3096" s="4"/>
      <c r="J3096" s="14"/>
    </row>
    <row r="3097" spans="6:10" ht="12.75">
      <c r="F3097" s="17"/>
      <c r="G3097" s="19"/>
      <c r="H3097" s="23"/>
      <c r="I3097" s="4"/>
      <c r="J3097" s="14"/>
    </row>
    <row r="3098" spans="6:10" ht="12.75">
      <c r="F3098" s="17"/>
      <c r="G3098" s="19"/>
      <c r="H3098" s="23"/>
      <c r="I3098" s="4"/>
      <c r="J3098" s="14"/>
    </row>
    <row r="3099" spans="6:10" ht="12.75">
      <c r="F3099" s="17"/>
      <c r="G3099" s="19"/>
      <c r="H3099" s="23"/>
      <c r="I3099" s="4"/>
      <c r="J3099" s="14"/>
    </row>
    <row r="3100" spans="6:10" ht="12.75">
      <c r="F3100" s="17"/>
      <c r="G3100" s="19"/>
      <c r="H3100" s="23"/>
      <c r="I3100" s="4"/>
      <c r="J3100" s="14"/>
    </row>
    <row r="3101" spans="6:10" ht="12.75">
      <c r="F3101" s="17"/>
      <c r="G3101" s="19"/>
      <c r="H3101" s="23"/>
      <c r="I3101" s="4"/>
      <c r="J3101" s="14"/>
    </row>
    <row r="3102" spans="6:10" ht="12.75">
      <c r="F3102" s="17"/>
      <c r="G3102" s="19"/>
      <c r="H3102" s="23"/>
      <c r="I3102" s="4"/>
      <c r="J3102" s="14"/>
    </row>
    <row r="3103" spans="6:10" ht="12.75">
      <c r="F3103" s="17"/>
      <c r="G3103" s="19"/>
      <c r="H3103" s="23"/>
      <c r="I3103" s="4"/>
      <c r="J3103" s="14"/>
    </row>
    <row r="3104" spans="6:10" ht="12.75">
      <c r="F3104" s="17"/>
      <c r="G3104" s="19"/>
      <c r="H3104" s="23"/>
      <c r="I3104" s="4"/>
      <c r="J3104" s="14"/>
    </row>
    <row r="3105" spans="6:10" ht="12.75">
      <c r="F3105" s="17"/>
      <c r="G3105" s="19"/>
      <c r="H3105" s="23"/>
      <c r="I3105" s="4"/>
      <c r="J3105" s="14"/>
    </row>
    <row r="3106" spans="6:10" ht="12.75">
      <c r="F3106" s="17"/>
      <c r="G3106" s="19"/>
      <c r="H3106" s="23"/>
      <c r="I3106" s="4"/>
      <c r="J3106" s="14"/>
    </row>
    <row r="3107" spans="6:10" ht="12.75">
      <c r="F3107" s="17"/>
      <c r="G3107" s="19"/>
      <c r="H3107" s="23"/>
      <c r="I3107" s="4"/>
      <c r="J3107" s="14"/>
    </row>
    <row r="3108" spans="6:10" ht="12.75">
      <c r="F3108" s="17"/>
      <c r="G3108" s="19"/>
      <c r="H3108" s="23"/>
      <c r="I3108" s="4"/>
      <c r="J3108" s="14"/>
    </row>
    <row r="3109" spans="6:10" ht="12.75">
      <c r="F3109" s="17"/>
      <c r="G3109" s="19"/>
      <c r="H3109" s="23"/>
      <c r="I3109" s="4"/>
      <c r="J3109" s="14"/>
    </row>
    <row r="3110" spans="6:10" ht="12.75">
      <c r="F3110" s="17"/>
      <c r="G3110" s="19"/>
      <c r="H3110" s="23"/>
      <c r="I3110" s="4"/>
      <c r="J3110" s="14"/>
    </row>
    <row r="3111" spans="6:10" ht="12.75">
      <c r="F3111" s="17"/>
      <c r="G3111" s="19"/>
      <c r="H3111" s="23"/>
      <c r="I3111" s="4"/>
      <c r="J3111" s="14"/>
    </row>
    <row r="3112" spans="6:10" ht="12.75">
      <c r="F3112" s="17"/>
      <c r="G3112" s="19"/>
      <c r="H3112" s="23"/>
      <c r="I3112" s="4"/>
      <c r="J3112" s="14"/>
    </row>
    <row r="3113" spans="6:10" ht="12.75">
      <c r="F3113" s="17"/>
      <c r="G3113" s="19"/>
      <c r="H3113" s="23"/>
      <c r="I3113" s="4"/>
      <c r="J3113" s="14"/>
    </row>
    <row r="3114" spans="6:10" ht="12.75">
      <c r="F3114" s="17"/>
      <c r="G3114" s="19"/>
      <c r="H3114" s="23"/>
      <c r="I3114" s="4"/>
      <c r="J3114" s="14"/>
    </row>
    <row r="3115" spans="6:10" ht="12.75">
      <c r="F3115" s="17"/>
      <c r="G3115" s="19"/>
      <c r="H3115" s="23"/>
      <c r="I3115" s="4"/>
      <c r="J3115" s="14"/>
    </row>
    <row r="3116" spans="6:10" ht="12.75">
      <c r="F3116" s="17"/>
      <c r="G3116" s="19"/>
      <c r="H3116" s="23"/>
      <c r="I3116" s="4"/>
      <c r="J3116" s="14"/>
    </row>
    <row r="3117" spans="6:10" ht="12.75">
      <c r="F3117" s="17"/>
      <c r="G3117" s="19"/>
      <c r="H3117" s="23"/>
      <c r="I3117" s="4"/>
      <c r="J3117" s="14"/>
    </row>
    <row r="3118" spans="6:10" ht="12.75">
      <c r="F3118" s="17"/>
      <c r="G3118" s="19"/>
      <c r="H3118" s="23"/>
      <c r="I3118" s="4"/>
      <c r="J3118" s="14"/>
    </row>
    <row r="3119" spans="6:10" ht="12.75">
      <c r="F3119" s="17"/>
      <c r="G3119" s="19"/>
      <c r="H3119" s="23"/>
      <c r="I3119" s="4"/>
      <c r="J3119" s="14"/>
    </row>
    <row r="3120" spans="6:10" ht="12.75">
      <c r="F3120" s="17"/>
      <c r="G3120" s="19"/>
      <c r="H3120" s="23"/>
      <c r="I3120" s="4"/>
      <c r="J3120" s="14"/>
    </row>
    <row r="3121" spans="6:10" ht="12.75">
      <c r="F3121" s="17"/>
      <c r="G3121" s="19"/>
      <c r="H3121" s="23"/>
      <c r="I3121" s="4"/>
      <c r="J3121" s="14"/>
    </row>
    <row r="3122" spans="6:10" ht="12.75">
      <c r="F3122" s="17"/>
      <c r="G3122" s="19"/>
      <c r="H3122" s="23"/>
      <c r="I3122" s="4"/>
      <c r="J3122" s="14"/>
    </row>
    <row r="3123" spans="6:10" ht="12.75">
      <c r="F3123" s="17"/>
      <c r="G3123" s="19"/>
      <c r="H3123" s="23"/>
      <c r="I3123" s="4"/>
      <c r="J3123" s="14"/>
    </row>
    <row r="3124" spans="6:10" ht="12.75">
      <c r="F3124" s="17"/>
      <c r="G3124" s="19"/>
      <c r="H3124" s="23"/>
      <c r="I3124" s="4"/>
      <c r="J3124" s="14"/>
    </row>
    <row r="3125" spans="6:10" ht="12.75">
      <c r="F3125" s="17"/>
      <c r="G3125" s="19"/>
      <c r="H3125" s="23"/>
      <c r="I3125" s="4"/>
      <c r="J3125" s="14"/>
    </row>
    <row r="3126" spans="6:10" ht="12.75">
      <c r="F3126" s="17"/>
      <c r="G3126" s="19"/>
      <c r="H3126" s="23"/>
      <c r="I3126" s="4"/>
      <c r="J3126" s="14"/>
    </row>
    <row r="3127" spans="6:10" ht="12.75">
      <c r="F3127" s="17"/>
      <c r="G3127" s="19"/>
      <c r="H3127" s="23"/>
      <c r="I3127" s="4"/>
      <c r="J3127" s="14"/>
    </row>
    <row r="3128" spans="6:10" ht="12.75">
      <c r="F3128" s="17"/>
      <c r="G3128" s="19"/>
      <c r="H3128" s="23"/>
      <c r="I3128" s="4"/>
      <c r="J3128" s="14"/>
    </row>
    <row r="3129" spans="6:10" ht="12.75">
      <c r="F3129" s="17"/>
      <c r="G3129" s="19"/>
      <c r="H3129" s="23"/>
      <c r="I3129" s="4"/>
      <c r="J3129" s="14"/>
    </row>
    <row r="3130" spans="6:10" ht="12.75">
      <c r="F3130" s="17"/>
      <c r="G3130" s="19"/>
      <c r="H3130" s="23"/>
      <c r="I3130" s="4"/>
      <c r="J3130" s="14"/>
    </row>
    <row r="3131" spans="6:10" ht="12.75">
      <c r="F3131" s="17"/>
      <c r="G3131" s="19"/>
      <c r="H3131" s="23"/>
      <c r="I3131" s="4"/>
      <c r="J3131" s="14"/>
    </row>
    <row r="3132" spans="6:10" ht="12.75">
      <c r="F3132" s="17"/>
      <c r="G3132" s="19"/>
      <c r="H3132" s="23"/>
      <c r="I3132" s="4"/>
      <c r="J3132" s="14"/>
    </row>
    <row r="3133" spans="6:10" ht="12.75">
      <c r="F3133" s="17"/>
      <c r="G3133" s="19"/>
      <c r="H3133" s="23"/>
      <c r="I3133" s="4"/>
      <c r="J3133" s="14"/>
    </row>
    <row r="3134" spans="6:10" ht="12.75">
      <c r="F3134" s="17"/>
      <c r="G3134" s="19"/>
      <c r="H3134" s="23"/>
      <c r="I3134" s="4"/>
      <c r="J3134" s="14"/>
    </row>
    <row r="3135" spans="6:10" ht="12.75">
      <c r="F3135" s="17"/>
      <c r="G3135" s="19"/>
      <c r="H3135" s="23"/>
      <c r="I3135" s="4"/>
      <c r="J3135" s="14"/>
    </row>
    <row r="3136" spans="6:10" ht="12.75">
      <c r="F3136" s="17"/>
      <c r="G3136" s="19"/>
      <c r="H3136" s="23"/>
      <c r="I3136" s="4"/>
      <c r="J3136" s="14"/>
    </row>
    <row r="3137" spans="6:10" ht="12.75">
      <c r="F3137" s="17"/>
      <c r="G3137" s="19"/>
      <c r="H3137" s="23"/>
      <c r="I3137" s="4"/>
      <c r="J3137" s="14"/>
    </row>
    <row r="3138" spans="6:10" ht="12.75">
      <c r="F3138" s="17"/>
      <c r="G3138" s="19"/>
      <c r="H3138" s="23"/>
      <c r="I3138" s="4"/>
      <c r="J3138" s="14"/>
    </row>
    <row r="3139" spans="6:10" ht="12.75">
      <c r="F3139" s="17"/>
      <c r="G3139" s="19"/>
      <c r="H3139" s="23"/>
      <c r="I3139" s="4"/>
      <c r="J3139" s="14"/>
    </row>
    <row r="3140" spans="6:10" ht="12.75">
      <c r="F3140" s="17"/>
      <c r="G3140" s="19"/>
      <c r="H3140" s="23"/>
      <c r="I3140" s="4"/>
      <c r="J3140" s="14"/>
    </row>
    <row r="3141" spans="6:10" ht="12.75">
      <c r="F3141" s="17"/>
      <c r="G3141" s="19"/>
      <c r="H3141" s="23"/>
      <c r="I3141" s="4"/>
      <c r="J3141" s="14"/>
    </row>
    <row r="3142" spans="6:10" ht="12.75">
      <c r="F3142" s="17"/>
      <c r="G3142" s="19"/>
      <c r="H3142" s="23"/>
      <c r="I3142" s="4"/>
      <c r="J3142" s="14"/>
    </row>
    <row r="3143" spans="6:10" ht="12.75">
      <c r="F3143" s="17"/>
      <c r="G3143" s="19"/>
      <c r="H3143" s="23"/>
      <c r="I3143" s="4"/>
      <c r="J3143" s="14"/>
    </row>
    <row r="3144" spans="6:10" ht="12.75">
      <c r="F3144" s="17"/>
      <c r="G3144" s="19"/>
      <c r="H3144" s="23"/>
      <c r="I3144" s="4"/>
      <c r="J3144" s="14"/>
    </row>
    <row r="3145" spans="6:10" ht="12.75">
      <c r="F3145" s="17"/>
      <c r="G3145" s="19"/>
      <c r="H3145" s="23"/>
      <c r="I3145" s="4"/>
      <c r="J3145" s="14"/>
    </row>
    <row r="3146" spans="6:10" ht="12.75">
      <c r="F3146" s="17"/>
      <c r="G3146" s="19"/>
      <c r="H3146" s="23"/>
      <c r="I3146" s="4"/>
      <c r="J3146" s="14"/>
    </row>
    <row r="3147" spans="6:10" ht="12.75">
      <c r="F3147" s="17"/>
      <c r="G3147" s="19"/>
      <c r="H3147" s="23"/>
      <c r="I3147" s="4"/>
      <c r="J3147" s="14"/>
    </row>
    <row r="3148" spans="6:10" ht="12.75">
      <c r="F3148" s="17"/>
      <c r="G3148" s="19"/>
      <c r="H3148" s="23"/>
      <c r="I3148" s="4"/>
      <c r="J3148" s="14"/>
    </row>
    <row r="3149" spans="6:10" ht="12.75">
      <c r="F3149" s="17"/>
      <c r="G3149" s="19"/>
      <c r="H3149" s="23"/>
      <c r="I3149" s="4"/>
      <c r="J3149" s="14"/>
    </row>
    <row r="3150" spans="6:10" ht="12.75">
      <c r="F3150" s="17"/>
      <c r="G3150" s="19"/>
      <c r="H3150" s="23"/>
      <c r="I3150" s="4"/>
      <c r="J3150" s="14"/>
    </row>
    <row r="3151" spans="6:10" ht="12.75">
      <c r="F3151" s="17"/>
      <c r="G3151" s="19"/>
      <c r="H3151" s="23"/>
      <c r="I3151" s="4"/>
      <c r="J3151" s="14"/>
    </row>
    <row r="3152" spans="6:10" ht="12.75">
      <c r="F3152" s="17"/>
      <c r="G3152" s="19"/>
      <c r="H3152" s="23"/>
      <c r="I3152" s="4"/>
      <c r="J3152" s="14"/>
    </row>
    <row r="3153" spans="6:10" ht="12.75">
      <c r="F3153" s="17"/>
      <c r="G3153" s="19"/>
      <c r="H3153" s="23"/>
      <c r="I3153" s="4"/>
      <c r="J3153" s="14"/>
    </row>
    <row r="3154" spans="6:10" ht="12.75">
      <c r="F3154" s="17"/>
      <c r="G3154" s="19"/>
      <c r="H3154" s="23"/>
      <c r="I3154" s="4"/>
      <c r="J3154" s="14"/>
    </row>
    <row r="3155" spans="6:10" ht="12.75">
      <c r="F3155" s="17"/>
      <c r="G3155" s="19"/>
      <c r="H3155" s="23"/>
      <c r="I3155" s="4"/>
      <c r="J3155" s="14"/>
    </row>
    <row r="3156" spans="6:10" ht="12.75">
      <c r="F3156" s="17"/>
      <c r="G3156" s="19"/>
      <c r="H3156" s="23"/>
      <c r="I3156" s="4"/>
      <c r="J3156" s="14"/>
    </row>
    <row r="3157" spans="6:10" ht="12.75">
      <c r="F3157" s="17"/>
      <c r="G3157" s="19"/>
      <c r="H3157" s="23"/>
      <c r="I3157" s="4"/>
      <c r="J3157" s="14"/>
    </row>
    <row r="3158" spans="6:10" ht="12.75">
      <c r="F3158" s="17"/>
      <c r="G3158" s="19"/>
      <c r="H3158" s="23"/>
      <c r="I3158" s="4"/>
      <c r="J3158" s="14"/>
    </row>
    <row r="3159" spans="6:10" ht="12.75">
      <c r="F3159" s="17"/>
      <c r="G3159" s="19"/>
      <c r="H3159" s="23"/>
      <c r="I3159" s="4"/>
      <c r="J3159" s="14"/>
    </row>
    <row r="3160" spans="6:10" ht="12.75">
      <c r="F3160" s="17"/>
      <c r="G3160" s="19"/>
      <c r="H3160" s="23"/>
      <c r="I3160" s="4"/>
      <c r="J3160" s="14"/>
    </row>
    <row r="3161" spans="6:10" ht="12.75">
      <c r="F3161" s="17"/>
      <c r="G3161" s="19"/>
      <c r="H3161" s="23"/>
      <c r="I3161" s="4"/>
      <c r="J3161" s="14"/>
    </row>
    <row r="3162" spans="6:10" ht="12.75">
      <c r="F3162" s="17"/>
      <c r="G3162" s="19"/>
      <c r="H3162" s="23"/>
      <c r="I3162" s="4"/>
      <c r="J3162" s="14"/>
    </row>
    <row r="3163" spans="6:10" ht="12.75">
      <c r="F3163" s="17"/>
      <c r="G3163" s="19"/>
      <c r="H3163" s="23"/>
      <c r="I3163" s="4"/>
      <c r="J3163" s="14"/>
    </row>
    <row r="3164" spans="6:10" ht="12.75">
      <c r="F3164" s="17"/>
      <c r="G3164" s="19"/>
      <c r="H3164" s="23"/>
      <c r="I3164" s="4"/>
      <c r="J3164" s="14"/>
    </row>
    <row r="3165" spans="6:10" ht="12.75">
      <c r="F3165" s="17"/>
      <c r="G3165" s="19"/>
      <c r="H3165" s="23"/>
      <c r="I3165" s="4"/>
      <c r="J3165" s="14"/>
    </row>
    <row r="3166" spans="6:10" ht="12.75">
      <c r="F3166" s="17"/>
      <c r="G3166" s="19"/>
      <c r="H3166" s="23"/>
      <c r="I3166" s="4"/>
      <c r="J3166" s="14"/>
    </row>
    <row r="3167" spans="6:10" ht="12.75">
      <c r="F3167" s="17"/>
      <c r="G3167" s="19"/>
      <c r="H3167" s="23"/>
      <c r="I3167" s="4"/>
      <c r="J3167" s="14"/>
    </row>
    <row r="3168" spans="6:10" ht="12.75">
      <c r="F3168" s="17"/>
      <c r="G3168" s="19"/>
      <c r="H3168" s="23"/>
      <c r="I3168" s="4"/>
      <c r="J3168" s="14"/>
    </row>
    <row r="3169" spans="6:10" ht="12.75">
      <c r="F3169" s="17"/>
      <c r="G3169" s="19"/>
      <c r="H3169" s="23"/>
      <c r="I3169" s="4"/>
      <c r="J3169" s="14"/>
    </row>
    <row r="3170" spans="6:10" ht="12.75">
      <c r="F3170" s="17"/>
      <c r="G3170" s="19"/>
      <c r="H3170" s="23"/>
      <c r="I3170" s="4"/>
      <c r="J3170" s="14"/>
    </row>
    <row r="3171" spans="6:10" ht="12.75">
      <c r="F3171" s="17"/>
      <c r="G3171" s="19"/>
      <c r="H3171" s="23"/>
      <c r="I3171" s="4"/>
      <c r="J3171" s="14"/>
    </row>
    <row r="3172" spans="6:10" ht="12.75">
      <c r="F3172" s="17"/>
      <c r="G3172" s="19"/>
      <c r="H3172" s="23"/>
      <c r="I3172" s="4"/>
      <c r="J3172" s="14"/>
    </row>
    <row r="3173" spans="6:10" ht="12.75">
      <c r="F3173" s="17"/>
      <c r="G3173" s="19"/>
      <c r="H3173" s="23"/>
      <c r="I3173" s="4"/>
      <c r="J3173" s="14"/>
    </row>
    <row r="3174" spans="6:10" ht="12.75">
      <c r="F3174" s="17"/>
      <c r="G3174" s="19"/>
      <c r="H3174" s="23"/>
      <c r="I3174" s="4"/>
      <c r="J3174" s="14"/>
    </row>
    <row r="3175" spans="6:10" ht="12.75">
      <c r="F3175" s="17"/>
      <c r="G3175" s="19"/>
      <c r="H3175" s="23"/>
      <c r="I3175" s="4"/>
      <c r="J3175" s="14"/>
    </row>
    <row r="3176" spans="6:10" ht="12.75">
      <c r="F3176" s="17"/>
      <c r="G3176" s="19"/>
      <c r="H3176" s="23"/>
      <c r="I3176" s="4"/>
      <c r="J3176" s="14"/>
    </row>
    <row r="3177" spans="6:10" ht="12.75">
      <c r="F3177" s="17"/>
      <c r="G3177" s="19"/>
      <c r="H3177" s="23"/>
      <c r="I3177" s="4"/>
      <c r="J3177" s="14"/>
    </row>
    <row r="3178" spans="6:10" ht="12.75">
      <c r="F3178" s="17"/>
      <c r="G3178" s="19"/>
      <c r="H3178" s="23"/>
      <c r="I3178" s="4"/>
      <c r="J3178" s="14"/>
    </row>
    <row r="3179" spans="6:10" ht="12.75">
      <c r="F3179" s="17"/>
      <c r="G3179" s="19"/>
      <c r="H3179" s="23"/>
      <c r="I3179" s="4"/>
      <c r="J3179" s="14"/>
    </row>
    <row r="3180" spans="6:10" ht="12.75">
      <c r="F3180" s="17"/>
      <c r="G3180" s="19"/>
      <c r="H3180" s="23"/>
      <c r="I3180" s="4"/>
      <c r="J3180" s="14"/>
    </row>
    <row r="3181" spans="6:10" ht="12.75">
      <c r="F3181" s="17"/>
      <c r="G3181" s="19"/>
      <c r="H3181" s="23"/>
      <c r="I3181" s="4"/>
      <c r="J3181" s="14"/>
    </row>
    <row r="3182" spans="6:10" ht="12.75">
      <c r="F3182" s="17"/>
      <c r="G3182" s="19"/>
      <c r="H3182" s="23"/>
      <c r="I3182" s="4"/>
      <c r="J3182" s="14"/>
    </row>
    <row r="3183" spans="6:10" ht="12.75">
      <c r="F3183" s="17"/>
      <c r="G3183" s="19"/>
      <c r="H3183" s="23"/>
      <c r="I3183" s="4"/>
      <c r="J3183" s="14"/>
    </row>
    <row r="3184" spans="6:10" ht="12.75">
      <c r="F3184" s="17"/>
      <c r="G3184" s="19"/>
      <c r="H3184" s="23"/>
      <c r="I3184" s="4"/>
      <c r="J3184" s="14"/>
    </row>
    <row r="3185" spans="6:10" ht="12.75">
      <c r="F3185" s="17"/>
      <c r="G3185" s="19"/>
      <c r="H3185" s="23"/>
      <c r="I3185" s="4"/>
      <c r="J3185" s="14"/>
    </row>
    <row r="3186" spans="6:10" ht="12.75">
      <c r="F3186" s="17"/>
      <c r="G3186" s="19"/>
      <c r="H3186" s="23"/>
      <c r="I3186" s="4"/>
      <c r="J3186" s="14"/>
    </row>
    <row r="3187" spans="6:10" ht="12.75">
      <c r="F3187" s="17"/>
      <c r="G3187" s="19"/>
      <c r="H3187" s="23"/>
      <c r="I3187" s="4"/>
      <c r="J3187" s="14"/>
    </row>
    <row r="3188" spans="6:10" ht="12.75">
      <c r="F3188" s="17"/>
      <c r="G3188" s="19"/>
      <c r="H3188" s="23"/>
      <c r="I3188" s="4"/>
      <c r="J3188" s="14"/>
    </row>
    <row r="3189" spans="6:10" ht="12.75">
      <c r="F3189" s="17"/>
      <c r="G3189" s="19"/>
      <c r="H3189" s="23"/>
      <c r="I3189" s="4"/>
      <c r="J3189" s="14"/>
    </row>
    <row r="3190" spans="6:10" ht="12.75">
      <c r="F3190" s="17"/>
      <c r="G3190" s="19"/>
      <c r="H3190" s="23"/>
      <c r="I3190" s="4"/>
      <c r="J3190" s="14"/>
    </row>
    <row r="3191" spans="6:10" ht="12.75">
      <c r="F3191" s="17"/>
      <c r="G3191" s="19"/>
      <c r="H3191" s="23"/>
      <c r="I3191" s="4"/>
      <c r="J3191" s="14"/>
    </row>
    <row r="3192" spans="6:10" ht="12.75">
      <c r="F3192" s="17"/>
      <c r="G3192" s="19"/>
      <c r="H3192" s="23"/>
      <c r="I3192" s="4"/>
      <c r="J3192" s="14"/>
    </row>
    <row r="3193" spans="6:10" ht="12.75">
      <c r="F3193" s="17"/>
      <c r="G3193" s="19"/>
      <c r="H3193" s="23"/>
      <c r="I3193" s="4"/>
      <c r="J3193" s="14"/>
    </row>
    <row r="3194" spans="6:10" ht="12.75">
      <c r="F3194" s="17"/>
      <c r="G3194" s="19"/>
      <c r="H3194" s="23"/>
      <c r="I3194" s="4"/>
      <c r="J3194" s="14"/>
    </row>
    <row r="3195" spans="6:10" ht="12.75">
      <c r="F3195" s="17"/>
      <c r="G3195" s="19"/>
      <c r="H3195" s="23"/>
      <c r="I3195" s="4"/>
      <c r="J3195" s="14"/>
    </row>
    <row r="3196" spans="6:10" ht="12.75">
      <c r="F3196" s="17"/>
      <c r="G3196" s="19"/>
      <c r="H3196" s="23"/>
      <c r="I3196" s="4"/>
      <c r="J3196" s="14"/>
    </row>
    <row r="3197" spans="6:10" ht="12.75">
      <c r="F3197" s="17"/>
      <c r="G3197" s="19"/>
      <c r="H3197" s="23"/>
      <c r="I3197" s="4"/>
      <c r="J3197" s="14"/>
    </row>
    <row r="3198" spans="6:10" ht="12.75">
      <c r="F3198" s="17"/>
      <c r="G3198" s="19"/>
      <c r="H3198" s="23"/>
      <c r="I3198" s="4"/>
      <c r="J3198" s="14"/>
    </row>
    <row r="3199" spans="6:10" ht="12.75">
      <c r="F3199" s="17"/>
      <c r="G3199" s="19"/>
      <c r="H3199" s="23"/>
      <c r="I3199" s="4"/>
      <c r="J3199" s="14"/>
    </row>
    <row r="3200" spans="6:10" ht="12.75">
      <c r="F3200" s="17"/>
      <c r="G3200" s="19"/>
      <c r="H3200" s="23"/>
      <c r="I3200" s="4"/>
      <c r="J3200" s="14"/>
    </row>
    <row r="3201" spans="6:10" ht="12.75">
      <c r="F3201" s="17"/>
      <c r="G3201" s="19"/>
      <c r="H3201" s="23"/>
      <c r="I3201" s="4"/>
      <c r="J3201" s="14"/>
    </row>
    <row r="3202" spans="6:10" ht="12.75">
      <c r="F3202" s="17"/>
      <c r="G3202" s="19"/>
      <c r="H3202" s="23"/>
      <c r="I3202" s="4"/>
      <c r="J3202" s="14"/>
    </row>
    <row r="3203" spans="6:10" ht="12.75">
      <c r="F3203" s="17"/>
      <c r="G3203" s="19"/>
      <c r="H3203" s="23"/>
      <c r="I3203" s="4"/>
      <c r="J3203" s="14"/>
    </row>
    <row r="3204" spans="6:10" ht="12.75">
      <c r="F3204" s="17"/>
      <c r="G3204" s="19"/>
      <c r="H3204" s="23"/>
      <c r="I3204" s="4"/>
      <c r="J3204" s="14"/>
    </row>
    <row r="3205" spans="6:10" ht="12.75">
      <c r="F3205" s="17"/>
      <c r="G3205" s="19"/>
      <c r="H3205" s="23"/>
      <c r="I3205" s="4"/>
      <c r="J3205" s="14"/>
    </row>
    <row r="3206" spans="6:10" ht="12.75">
      <c r="F3206" s="17"/>
      <c r="G3206" s="19"/>
      <c r="H3206" s="23"/>
      <c r="I3206" s="4"/>
      <c r="J3206" s="14"/>
    </row>
    <row r="3207" spans="6:10" ht="12.75">
      <c r="F3207" s="17"/>
      <c r="G3207" s="19"/>
      <c r="H3207" s="23"/>
      <c r="I3207" s="4"/>
      <c r="J3207" s="14"/>
    </row>
    <row r="3208" spans="6:10" ht="12.75">
      <c r="F3208" s="17"/>
      <c r="G3208" s="19"/>
      <c r="H3208" s="23"/>
      <c r="I3208" s="4"/>
      <c r="J3208" s="14"/>
    </row>
    <row r="3209" spans="6:10" ht="12.75">
      <c r="F3209" s="17"/>
      <c r="G3209" s="19"/>
      <c r="H3209" s="23"/>
      <c r="I3209" s="4"/>
      <c r="J3209" s="14"/>
    </row>
    <row r="3210" spans="6:10" ht="12.75">
      <c r="F3210" s="17"/>
      <c r="G3210" s="19"/>
      <c r="H3210" s="23"/>
      <c r="I3210" s="4"/>
      <c r="J3210" s="14"/>
    </row>
    <row r="3211" spans="6:10" ht="12.75">
      <c r="F3211" s="17"/>
      <c r="G3211" s="19"/>
      <c r="H3211" s="23"/>
      <c r="I3211" s="4"/>
      <c r="J3211" s="14"/>
    </row>
    <row r="3212" spans="6:10" ht="12.75">
      <c r="F3212" s="17"/>
      <c r="G3212" s="19"/>
      <c r="H3212" s="23"/>
      <c r="I3212" s="4"/>
      <c r="J3212" s="14"/>
    </row>
    <row r="3213" spans="6:10" ht="12.75">
      <c r="F3213" s="17"/>
      <c r="G3213" s="19"/>
      <c r="H3213" s="23"/>
      <c r="I3213" s="4"/>
      <c r="J3213" s="14"/>
    </row>
    <row r="3214" spans="6:10" ht="12.75">
      <c r="F3214" s="17"/>
      <c r="G3214" s="19"/>
      <c r="H3214" s="23"/>
      <c r="I3214" s="4"/>
      <c r="J3214" s="14"/>
    </row>
    <row r="3215" spans="6:10" ht="12.75">
      <c r="F3215" s="17"/>
      <c r="G3215" s="19"/>
      <c r="H3215" s="23"/>
      <c r="I3215" s="4"/>
      <c r="J3215" s="14"/>
    </row>
    <row r="3216" spans="6:10" ht="12.75">
      <c r="F3216" s="17"/>
      <c r="G3216" s="19"/>
      <c r="H3216" s="23"/>
      <c r="I3216" s="4"/>
      <c r="J3216" s="14"/>
    </row>
    <row r="3217" spans="6:10" ht="12.75">
      <c r="F3217" s="17"/>
      <c r="G3217" s="19"/>
      <c r="H3217" s="23"/>
      <c r="I3217" s="4"/>
      <c r="J3217" s="14"/>
    </row>
    <row r="3218" spans="6:10" ht="12.75">
      <c r="F3218" s="17"/>
      <c r="G3218" s="19"/>
      <c r="H3218" s="23"/>
      <c r="I3218" s="4"/>
      <c r="J3218" s="14"/>
    </row>
    <row r="3219" spans="6:10" ht="12.75">
      <c r="F3219" s="17"/>
      <c r="G3219" s="19"/>
      <c r="H3219" s="23"/>
      <c r="I3219" s="4"/>
      <c r="J3219" s="14"/>
    </row>
    <row r="3220" spans="6:10" ht="12.75">
      <c r="F3220" s="17"/>
      <c r="G3220" s="19"/>
      <c r="H3220" s="23"/>
      <c r="I3220" s="4"/>
      <c r="J3220" s="14"/>
    </row>
    <row r="3221" spans="6:10" ht="12.75">
      <c r="F3221" s="17"/>
      <c r="G3221" s="19"/>
      <c r="H3221" s="23"/>
      <c r="I3221" s="4"/>
      <c r="J3221" s="14"/>
    </row>
    <row r="3222" spans="6:10" ht="12.75">
      <c r="F3222" s="17"/>
      <c r="G3222" s="19"/>
      <c r="H3222" s="23"/>
      <c r="I3222" s="4"/>
      <c r="J3222" s="14"/>
    </row>
    <row r="3223" spans="6:10" ht="12.75">
      <c r="F3223" s="17"/>
      <c r="G3223" s="19"/>
      <c r="H3223" s="23"/>
      <c r="I3223" s="4"/>
      <c r="J3223" s="14"/>
    </row>
    <row r="3224" spans="6:10" ht="12.75">
      <c r="F3224" s="17"/>
      <c r="G3224" s="19"/>
      <c r="H3224" s="23"/>
      <c r="I3224" s="4"/>
      <c r="J3224" s="14"/>
    </row>
    <row r="3225" spans="6:10" ht="12.75">
      <c r="F3225" s="17"/>
      <c r="G3225" s="19"/>
      <c r="H3225" s="23"/>
      <c r="I3225" s="4"/>
      <c r="J3225" s="14"/>
    </row>
    <row r="3226" spans="6:10" ht="12.75">
      <c r="F3226" s="17"/>
      <c r="G3226" s="19"/>
      <c r="H3226" s="23"/>
      <c r="I3226" s="4"/>
      <c r="J3226" s="14"/>
    </row>
    <row r="3227" spans="6:10" ht="12.75">
      <c r="F3227" s="17"/>
      <c r="G3227" s="19"/>
      <c r="H3227" s="23"/>
      <c r="I3227" s="4"/>
      <c r="J3227" s="14"/>
    </row>
    <row r="3228" spans="6:10" ht="12.75">
      <c r="F3228" s="17"/>
      <c r="G3228" s="19"/>
      <c r="H3228" s="23"/>
      <c r="I3228" s="4"/>
      <c r="J3228" s="14"/>
    </row>
    <row r="3229" spans="6:10" ht="12.75">
      <c r="F3229" s="17"/>
      <c r="G3229" s="19"/>
      <c r="H3229" s="23"/>
      <c r="I3229" s="4"/>
      <c r="J3229" s="14"/>
    </row>
    <row r="3230" spans="6:10" ht="12.75">
      <c r="F3230" s="17"/>
      <c r="G3230" s="19"/>
      <c r="H3230" s="23"/>
      <c r="I3230" s="4"/>
      <c r="J3230" s="14"/>
    </row>
    <row r="3231" spans="6:10" ht="12.75">
      <c r="F3231" s="17"/>
      <c r="G3231" s="19"/>
      <c r="H3231" s="23"/>
      <c r="I3231" s="4"/>
      <c r="J3231" s="14"/>
    </row>
    <row r="3232" spans="6:10" ht="12.75">
      <c r="F3232" s="17"/>
      <c r="G3232" s="19"/>
      <c r="H3232" s="23"/>
      <c r="I3232" s="4"/>
      <c r="J3232" s="14"/>
    </row>
    <row r="3233" spans="6:10" ht="12.75">
      <c r="F3233" s="17"/>
      <c r="G3233" s="19"/>
      <c r="H3233" s="23"/>
      <c r="I3233" s="4"/>
      <c r="J3233" s="14"/>
    </row>
    <row r="3234" spans="6:10" ht="12.75">
      <c r="F3234" s="17"/>
      <c r="G3234" s="19"/>
      <c r="H3234" s="23"/>
      <c r="I3234" s="4"/>
      <c r="J3234" s="14"/>
    </row>
    <row r="3235" spans="6:10" ht="12.75">
      <c r="F3235" s="17"/>
      <c r="G3235" s="19"/>
      <c r="H3235" s="23"/>
      <c r="I3235" s="4"/>
      <c r="J3235" s="14"/>
    </row>
    <row r="3236" spans="6:10" ht="12.75">
      <c r="F3236" s="17"/>
      <c r="G3236" s="19"/>
      <c r="H3236" s="23"/>
      <c r="I3236" s="4"/>
      <c r="J3236" s="14"/>
    </row>
    <row r="3237" spans="6:10" ht="12.75">
      <c r="F3237" s="17"/>
      <c r="G3237" s="19"/>
      <c r="H3237" s="23"/>
      <c r="I3237" s="4"/>
      <c r="J3237" s="14"/>
    </row>
    <row r="3238" spans="6:10" ht="12.75">
      <c r="F3238" s="17"/>
      <c r="G3238" s="19"/>
      <c r="H3238" s="23"/>
      <c r="I3238" s="4"/>
      <c r="J3238" s="14"/>
    </row>
    <row r="3239" spans="6:10" ht="12.75">
      <c r="F3239" s="17"/>
      <c r="G3239" s="19"/>
      <c r="H3239" s="23"/>
      <c r="I3239" s="4"/>
      <c r="J3239" s="14"/>
    </row>
    <row r="3240" spans="6:10" ht="12.75">
      <c r="F3240" s="17"/>
      <c r="G3240" s="19"/>
      <c r="H3240" s="23"/>
      <c r="I3240" s="4"/>
      <c r="J3240" s="14"/>
    </row>
    <row r="3241" spans="6:10" ht="12.75">
      <c r="F3241" s="17"/>
      <c r="G3241" s="19"/>
      <c r="H3241" s="23"/>
      <c r="I3241" s="4"/>
      <c r="J3241" s="14"/>
    </row>
    <row r="3242" spans="6:10" ht="12.75">
      <c r="F3242" s="17"/>
      <c r="G3242" s="19"/>
      <c r="H3242" s="23"/>
      <c r="I3242" s="4"/>
      <c r="J3242" s="14"/>
    </row>
    <row r="3243" spans="6:10" ht="12.75">
      <c r="F3243" s="17"/>
      <c r="G3243" s="19"/>
      <c r="H3243" s="23"/>
      <c r="I3243" s="4"/>
      <c r="J3243" s="14"/>
    </row>
    <row r="3244" spans="6:10" ht="12.75">
      <c r="F3244" s="17"/>
      <c r="G3244" s="19"/>
      <c r="H3244" s="23"/>
      <c r="I3244" s="4"/>
      <c r="J3244" s="14"/>
    </row>
    <row r="3245" spans="6:10" ht="12.75">
      <c r="F3245" s="17"/>
      <c r="G3245" s="19"/>
      <c r="H3245" s="23"/>
      <c r="I3245" s="4"/>
      <c r="J3245" s="14"/>
    </row>
    <row r="3246" spans="6:10" ht="12.75">
      <c r="F3246" s="17"/>
      <c r="G3246" s="19"/>
      <c r="H3246" s="23"/>
      <c r="I3246" s="4"/>
      <c r="J3246" s="14"/>
    </row>
    <row r="3247" spans="6:10" ht="12.75">
      <c r="F3247" s="17"/>
      <c r="G3247" s="19"/>
      <c r="H3247" s="23"/>
      <c r="I3247" s="4"/>
      <c r="J3247" s="14"/>
    </row>
    <row r="3248" spans="6:10" ht="12.75">
      <c r="F3248" s="17"/>
      <c r="G3248" s="19"/>
      <c r="H3248" s="23"/>
      <c r="I3248" s="4"/>
      <c r="J3248" s="14"/>
    </row>
    <row r="3249" spans="6:10" ht="12.75">
      <c r="F3249" s="17"/>
      <c r="G3249" s="19"/>
      <c r="H3249" s="23"/>
      <c r="I3249" s="4"/>
      <c r="J3249" s="14"/>
    </row>
    <row r="3250" spans="6:10" ht="12.75">
      <c r="F3250" s="17"/>
      <c r="G3250" s="19"/>
      <c r="H3250" s="23"/>
      <c r="I3250" s="4"/>
      <c r="J3250" s="14"/>
    </row>
    <row r="3251" spans="6:10" ht="12.75">
      <c r="F3251" s="17"/>
      <c r="G3251" s="19"/>
      <c r="H3251" s="23"/>
      <c r="I3251" s="4"/>
      <c r="J3251" s="14"/>
    </row>
    <row r="3252" spans="6:10" ht="12.75">
      <c r="F3252" s="17"/>
      <c r="G3252" s="19"/>
      <c r="H3252" s="23"/>
      <c r="I3252" s="4"/>
      <c r="J3252" s="14"/>
    </row>
    <row r="3253" spans="6:10" ht="12.75">
      <c r="F3253" s="17"/>
      <c r="G3253" s="19"/>
      <c r="H3253" s="23"/>
      <c r="I3253" s="4"/>
      <c r="J3253" s="14"/>
    </row>
    <row r="3254" spans="6:10" ht="12.75">
      <c r="F3254" s="17"/>
      <c r="G3254" s="19"/>
      <c r="H3254" s="23"/>
      <c r="I3254" s="4"/>
      <c r="J3254" s="14"/>
    </row>
    <row r="3255" spans="6:10" ht="12.75">
      <c r="F3255" s="17"/>
      <c r="G3255" s="19"/>
      <c r="H3255" s="23"/>
      <c r="I3255" s="4"/>
      <c r="J3255" s="14"/>
    </row>
    <row r="3256" spans="6:10" ht="12.75">
      <c r="F3256" s="17"/>
      <c r="G3256" s="19"/>
      <c r="H3256" s="23"/>
      <c r="I3256" s="4"/>
      <c r="J3256" s="14"/>
    </row>
    <row r="3257" spans="6:10" ht="12.75">
      <c r="F3257" s="17"/>
      <c r="G3257" s="19"/>
      <c r="H3257" s="23"/>
      <c r="I3257" s="4"/>
      <c r="J3257" s="14"/>
    </row>
    <row r="3258" spans="6:10" ht="12.75">
      <c r="F3258" s="17"/>
      <c r="G3258" s="19"/>
      <c r="H3258" s="23"/>
      <c r="I3258" s="4"/>
      <c r="J3258" s="14"/>
    </row>
    <row r="3259" spans="6:10" ht="12.75">
      <c r="F3259" s="17"/>
      <c r="G3259" s="19"/>
      <c r="H3259" s="23"/>
      <c r="I3259" s="4"/>
      <c r="J3259" s="14"/>
    </row>
    <row r="3260" spans="6:10" ht="12.75">
      <c r="F3260" s="17"/>
      <c r="G3260" s="19"/>
      <c r="H3260" s="23"/>
      <c r="I3260" s="4"/>
      <c r="J3260" s="14"/>
    </row>
    <row r="3261" spans="6:10" ht="12.75">
      <c r="F3261" s="17"/>
      <c r="G3261" s="19"/>
      <c r="H3261" s="23"/>
      <c r="I3261" s="4"/>
      <c r="J3261" s="14"/>
    </row>
    <row r="3262" spans="6:10" ht="12.75">
      <c r="F3262" s="17"/>
      <c r="G3262" s="19"/>
      <c r="H3262" s="23"/>
      <c r="I3262" s="4"/>
      <c r="J3262" s="14"/>
    </row>
    <row r="3263" spans="6:10" ht="12.75">
      <c r="F3263" s="17"/>
      <c r="G3263" s="19"/>
      <c r="H3263" s="23"/>
      <c r="I3263" s="4"/>
      <c r="J3263" s="14"/>
    </row>
    <row r="3264" spans="6:10" ht="12.75">
      <c r="F3264" s="17"/>
      <c r="G3264" s="19"/>
      <c r="H3264" s="23"/>
      <c r="I3264" s="4"/>
      <c r="J3264" s="14"/>
    </row>
    <row r="3265" spans="6:10" ht="12.75">
      <c r="F3265" s="17"/>
      <c r="G3265" s="19"/>
      <c r="H3265" s="23"/>
      <c r="I3265" s="4"/>
      <c r="J3265" s="14"/>
    </row>
    <row r="3266" spans="6:10" ht="12.75">
      <c r="F3266" s="17"/>
      <c r="G3266" s="19"/>
      <c r="H3266" s="23"/>
      <c r="I3266" s="4"/>
      <c r="J3266" s="14"/>
    </row>
    <row r="3267" spans="6:10" ht="12.75">
      <c r="F3267" s="17"/>
      <c r="G3267" s="19"/>
      <c r="H3267" s="23"/>
      <c r="I3267" s="4"/>
      <c r="J3267" s="14"/>
    </row>
    <row r="3268" spans="6:10" ht="12.75">
      <c r="F3268" s="17"/>
      <c r="G3268" s="19"/>
      <c r="H3268" s="23"/>
      <c r="I3268" s="4"/>
      <c r="J3268" s="14"/>
    </row>
    <row r="3269" spans="6:10" ht="12.75">
      <c r="F3269" s="17"/>
      <c r="G3269" s="19"/>
      <c r="H3269" s="23"/>
      <c r="I3269" s="4"/>
      <c r="J3269" s="14"/>
    </row>
    <row r="3270" spans="6:10" ht="12.75">
      <c r="F3270" s="17"/>
      <c r="G3270" s="19"/>
      <c r="H3270" s="23"/>
      <c r="I3270" s="4"/>
      <c r="J3270" s="14"/>
    </row>
    <row r="3271" spans="6:10" ht="12.75">
      <c r="F3271" s="17"/>
      <c r="G3271" s="19"/>
      <c r="H3271" s="23"/>
      <c r="I3271" s="4"/>
      <c r="J3271" s="14"/>
    </row>
    <row r="3272" spans="6:10" ht="12.75">
      <c r="F3272" s="17"/>
      <c r="G3272" s="19"/>
      <c r="H3272" s="23"/>
      <c r="I3272" s="4"/>
      <c r="J3272" s="14"/>
    </row>
    <row r="3273" spans="6:10" ht="12.75">
      <c r="F3273" s="17"/>
      <c r="G3273" s="19"/>
      <c r="H3273" s="23"/>
      <c r="I3273" s="4"/>
      <c r="J3273" s="14"/>
    </row>
    <row r="3274" spans="6:10" ht="12.75">
      <c r="F3274" s="17"/>
      <c r="G3274" s="19"/>
      <c r="H3274" s="23"/>
      <c r="I3274" s="4"/>
      <c r="J3274" s="14"/>
    </row>
    <row r="3275" spans="6:10" ht="12.75">
      <c r="F3275" s="17"/>
      <c r="G3275" s="19"/>
      <c r="H3275" s="23"/>
      <c r="I3275" s="4"/>
      <c r="J3275" s="14"/>
    </row>
    <row r="3276" spans="6:10" ht="12.75">
      <c r="F3276" s="17"/>
      <c r="G3276" s="19"/>
      <c r="H3276" s="23"/>
      <c r="I3276" s="4"/>
      <c r="J3276" s="14"/>
    </row>
    <row r="3277" spans="6:10" ht="12.75">
      <c r="F3277" s="17"/>
      <c r="G3277" s="19"/>
      <c r="H3277" s="23"/>
      <c r="I3277" s="4"/>
      <c r="J3277" s="14"/>
    </row>
    <row r="3278" spans="6:10" ht="12.75">
      <c r="F3278" s="17"/>
      <c r="G3278" s="19"/>
      <c r="H3278" s="23"/>
      <c r="I3278" s="4"/>
      <c r="J3278" s="14"/>
    </row>
    <row r="3279" spans="6:10" ht="12.75">
      <c r="F3279" s="17"/>
      <c r="G3279" s="19"/>
      <c r="H3279" s="23"/>
      <c r="I3279" s="4"/>
      <c r="J3279" s="14"/>
    </row>
    <row r="3280" spans="6:10" ht="12.75">
      <c r="F3280" s="17"/>
      <c r="G3280" s="19"/>
      <c r="H3280" s="23"/>
      <c r="I3280" s="4"/>
      <c r="J3280" s="14"/>
    </row>
    <row r="3281" spans="6:10" ht="12.75">
      <c r="F3281" s="17"/>
      <c r="G3281" s="19"/>
      <c r="H3281" s="23"/>
      <c r="I3281" s="4"/>
      <c r="J3281" s="14"/>
    </row>
    <row r="3282" spans="6:10" ht="12.75">
      <c r="F3282" s="17"/>
      <c r="G3282" s="19"/>
      <c r="H3282" s="23"/>
      <c r="I3282" s="4"/>
      <c r="J3282" s="14"/>
    </row>
    <row r="3283" spans="6:10" ht="12.75">
      <c r="F3283" s="17"/>
      <c r="G3283" s="19"/>
      <c r="H3283" s="23"/>
      <c r="I3283" s="4"/>
      <c r="J3283" s="14"/>
    </row>
    <row r="3284" spans="6:10" ht="12.75">
      <c r="F3284" s="17"/>
      <c r="G3284" s="19"/>
      <c r="H3284" s="23"/>
      <c r="I3284" s="4"/>
      <c r="J3284" s="14"/>
    </row>
    <row r="3285" spans="6:10" ht="12.75">
      <c r="F3285" s="17"/>
      <c r="G3285" s="19"/>
      <c r="H3285" s="23"/>
      <c r="I3285" s="4"/>
      <c r="J3285" s="14"/>
    </row>
    <row r="3286" spans="6:10" ht="12.75">
      <c r="F3286" s="17"/>
      <c r="G3286" s="19"/>
      <c r="H3286" s="23"/>
      <c r="I3286" s="4"/>
      <c r="J3286" s="14"/>
    </row>
    <row r="3287" spans="6:10" ht="12.75">
      <c r="F3287" s="17"/>
      <c r="G3287" s="19"/>
      <c r="H3287" s="23"/>
      <c r="I3287" s="4"/>
      <c r="J3287" s="14"/>
    </row>
    <row r="3288" spans="6:10" ht="12.75">
      <c r="F3288" s="17"/>
      <c r="G3288" s="19"/>
      <c r="H3288" s="23"/>
      <c r="I3288" s="4"/>
      <c r="J3288" s="14"/>
    </row>
    <row r="3289" spans="6:10" ht="12.75">
      <c r="F3289" s="17"/>
      <c r="G3289" s="19"/>
      <c r="H3289" s="23"/>
      <c r="I3289" s="4"/>
      <c r="J3289" s="14"/>
    </row>
    <row r="3290" spans="6:10" ht="12.75">
      <c r="F3290" s="17"/>
      <c r="G3290" s="19"/>
      <c r="H3290" s="23"/>
      <c r="I3290" s="4"/>
      <c r="J3290" s="14"/>
    </row>
    <row r="3291" spans="6:10" ht="12.75">
      <c r="F3291" s="17"/>
      <c r="G3291" s="19"/>
      <c r="H3291" s="23"/>
      <c r="I3291" s="4"/>
      <c r="J3291" s="14"/>
    </row>
    <row r="3292" spans="6:10" ht="12.75">
      <c r="F3292" s="17"/>
      <c r="G3292" s="19"/>
      <c r="H3292" s="23"/>
      <c r="I3292" s="4"/>
      <c r="J3292" s="14"/>
    </row>
    <row r="3293" spans="6:10" ht="12.75">
      <c r="F3293" s="17"/>
      <c r="G3293" s="19"/>
      <c r="H3293" s="23"/>
      <c r="I3293" s="4"/>
      <c r="J3293" s="14"/>
    </row>
    <row r="3294" spans="6:10" ht="12.75">
      <c r="F3294" s="17"/>
      <c r="G3294" s="19"/>
      <c r="H3294" s="23"/>
      <c r="I3294" s="4"/>
      <c r="J3294" s="14"/>
    </row>
    <row r="3295" spans="6:10" ht="12.75">
      <c r="F3295" s="17"/>
      <c r="G3295" s="19"/>
      <c r="H3295" s="23"/>
      <c r="I3295" s="4"/>
      <c r="J3295" s="14"/>
    </row>
    <row r="3296" spans="6:10" ht="12.75">
      <c r="F3296" s="17"/>
      <c r="G3296" s="19"/>
      <c r="H3296" s="23"/>
      <c r="I3296" s="4"/>
      <c r="J3296" s="14"/>
    </row>
    <row r="3297" spans="6:10" ht="12.75">
      <c r="F3297" s="17"/>
      <c r="G3297" s="19"/>
      <c r="H3297" s="23"/>
      <c r="I3297" s="4"/>
      <c r="J3297" s="14"/>
    </row>
    <row r="3298" spans="6:10" ht="12.75">
      <c r="F3298" s="17"/>
      <c r="G3298" s="19"/>
      <c r="H3298" s="23"/>
      <c r="I3298" s="4"/>
      <c r="J3298" s="14"/>
    </row>
    <row r="3299" spans="6:10" ht="12.75">
      <c r="F3299" s="17"/>
      <c r="G3299" s="19"/>
      <c r="H3299" s="23"/>
      <c r="I3299" s="4"/>
      <c r="J3299" s="14"/>
    </row>
    <row r="3300" spans="6:10" ht="12.75">
      <c r="F3300" s="17"/>
      <c r="G3300" s="19"/>
      <c r="H3300" s="23"/>
      <c r="I3300" s="4"/>
      <c r="J3300" s="14"/>
    </row>
    <row r="3301" spans="6:10" ht="12.75">
      <c r="F3301" s="17"/>
      <c r="G3301" s="19"/>
      <c r="H3301" s="23"/>
      <c r="I3301" s="4"/>
      <c r="J3301" s="14"/>
    </row>
    <row r="3302" spans="6:10" ht="12.75">
      <c r="F3302" s="17"/>
      <c r="G3302" s="19"/>
      <c r="H3302" s="23"/>
      <c r="I3302" s="4"/>
      <c r="J3302" s="14"/>
    </row>
    <row r="3303" spans="6:10" ht="12.75">
      <c r="F3303" s="17"/>
      <c r="G3303" s="19"/>
      <c r="H3303" s="23"/>
      <c r="I3303" s="4"/>
      <c r="J3303" s="14"/>
    </row>
    <row r="3304" spans="6:10" ht="12.75">
      <c r="F3304" s="17"/>
      <c r="G3304" s="19"/>
      <c r="H3304" s="23"/>
      <c r="I3304" s="4"/>
      <c r="J3304" s="14"/>
    </row>
    <row r="3305" spans="6:10" ht="12.75">
      <c r="F3305" s="17"/>
      <c r="G3305" s="19"/>
      <c r="H3305" s="23"/>
      <c r="I3305" s="4"/>
      <c r="J3305" s="14"/>
    </row>
    <row r="3306" spans="6:10" ht="12.75">
      <c r="F3306" s="17"/>
      <c r="G3306" s="19"/>
      <c r="H3306" s="23"/>
      <c r="I3306" s="4"/>
      <c r="J3306" s="14"/>
    </row>
    <row r="3307" spans="6:10" ht="12.75">
      <c r="F3307" s="17"/>
      <c r="G3307" s="19"/>
      <c r="H3307" s="23"/>
      <c r="I3307" s="4"/>
      <c r="J3307" s="14"/>
    </row>
    <row r="3308" spans="6:10" ht="12.75">
      <c r="F3308" s="17"/>
      <c r="G3308" s="19"/>
      <c r="H3308" s="23"/>
      <c r="I3308" s="4"/>
      <c r="J3308" s="14"/>
    </row>
    <row r="3309" spans="6:10" ht="12.75">
      <c r="F3309" s="17"/>
      <c r="G3309" s="19"/>
      <c r="H3309" s="23"/>
      <c r="I3309" s="4"/>
      <c r="J3309" s="14"/>
    </row>
    <row r="3310" spans="6:10" ht="12.75">
      <c r="F3310" s="17"/>
      <c r="G3310" s="19"/>
      <c r="H3310" s="23"/>
      <c r="I3310" s="4"/>
      <c r="J3310" s="14"/>
    </row>
    <row r="3311" spans="6:10" ht="12.75">
      <c r="F3311" s="17"/>
      <c r="G3311" s="19"/>
      <c r="H3311" s="23"/>
      <c r="I3311" s="4"/>
      <c r="J3311" s="14"/>
    </row>
    <row r="3312" spans="6:10" ht="12.75">
      <c r="F3312" s="17"/>
      <c r="G3312" s="19"/>
      <c r="H3312" s="23"/>
      <c r="I3312" s="4"/>
      <c r="J3312" s="14"/>
    </row>
    <row r="3313" spans="6:10" ht="12.75">
      <c r="F3313" s="17"/>
      <c r="G3313" s="19"/>
      <c r="H3313" s="23"/>
      <c r="I3313" s="4"/>
      <c r="J3313" s="14"/>
    </row>
    <row r="3314" spans="6:10" ht="12.75">
      <c r="F3314" s="17"/>
      <c r="G3314" s="19"/>
      <c r="H3314" s="23"/>
      <c r="I3314" s="4"/>
      <c r="J3314" s="14"/>
    </row>
    <row r="3315" spans="6:10" ht="12.75">
      <c r="F3315" s="17"/>
      <c r="G3315" s="19"/>
      <c r="H3315" s="23"/>
      <c r="I3315" s="4"/>
      <c r="J3315" s="14"/>
    </row>
    <row r="3316" spans="6:10" ht="12.75">
      <c r="F3316" s="17"/>
      <c r="G3316" s="19"/>
      <c r="H3316" s="23"/>
      <c r="I3316" s="4"/>
      <c r="J3316" s="14"/>
    </row>
    <row r="3317" spans="6:10" ht="12.75">
      <c r="F3317" s="17"/>
      <c r="G3317" s="19"/>
      <c r="H3317" s="23"/>
      <c r="I3317" s="4"/>
      <c r="J3317" s="14"/>
    </row>
    <row r="3318" spans="6:10" ht="12.75">
      <c r="F3318" s="17"/>
      <c r="G3318" s="19"/>
      <c r="H3318" s="23"/>
      <c r="I3318" s="4"/>
      <c r="J3318" s="14"/>
    </row>
    <row r="3319" spans="6:10" ht="12.75">
      <c r="F3319" s="17"/>
      <c r="G3319" s="19"/>
      <c r="H3319" s="23"/>
      <c r="I3319" s="4"/>
      <c r="J3319" s="14"/>
    </row>
    <row r="3320" spans="6:10" ht="12.75">
      <c r="F3320" s="17"/>
      <c r="G3320" s="19"/>
      <c r="H3320" s="23"/>
      <c r="I3320" s="4"/>
      <c r="J3320" s="14"/>
    </row>
    <row r="3321" spans="6:10" ht="12.75">
      <c r="F3321" s="17"/>
      <c r="G3321" s="19"/>
      <c r="H3321" s="23"/>
      <c r="I3321" s="4"/>
      <c r="J3321" s="14"/>
    </row>
    <row r="3322" spans="6:10" ht="12.75">
      <c r="F3322" s="17"/>
      <c r="G3322" s="19"/>
      <c r="H3322" s="23"/>
      <c r="I3322" s="4"/>
      <c r="J3322" s="14"/>
    </row>
    <row r="3323" spans="6:10" ht="12.75">
      <c r="F3323" s="17"/>
      <c r="G3323" s="19"/>
      <c r="H3323" s="23"/>
      <c r="I3323" s="4"/>
      <c r="J3323" s="14"/>
    </row>
    <row r="3324" spans="6:10" ht="12.75">
      <c r="F3324" s="17"/>
      <c r="G3324" s="19"/>
      <c r="H3324" s="23"/>
      <c r="I3324" s="4"/>
      <c r="J3324" s="14"/>
    </row>
    <row r="3325" spans="6:10" ht="12.75">
      <c r="F3325" s="17"/>
      <c r="G3325" s="19"/>
      <c r="H3325" s="23"/>
      <c r="I3325" s="4"/>
      <c r="J3325" s="14"/>
    </row>
    <row r="3326" spans="6:10" ht="12.75">
      <c r="F3326" s="17"/>
      <c r="G3326" s="19"/>
      <c r="H3326" s="23"/>
      <c r="I3326" s="4"/>
      <c r="J3326" s="14"/>
    </row>
    <row r="3327" spans="6:10" ht="12.75">
      <c r="F3327" s="17"/>
      <c r="G3327" s="19"/>
      <c r="H3327" s="23"/>
      <c r="I3327" s="4"/>
      <c r="J3327" s="14"/>
    </row>
    <row r="3328" spans="6:10" ht="12.75">
      <c r="F3328" s="17"/>
      <c r="G3328" s="19"/>
      <c r="H3328" s="23"/>
      <c r="I3328" s="4"/>
      <c r="J3328" s="14"/>
    </row>
    <row r="3329" spans="6:10" ht="12.75">
      <c r="F3329" s="17"/>
      <c r="G3329" s="19"/>
      <c r="H3329" s="23"/>
      <c r="I3329" s="4"/>
      <c r="J3329" s="14"/>
    </row>
    <row r="3330" spans="6:10" ht="12.75">
      <c r="F3330" s="17"/>
      <c r="G3330" s="19"/>
      <c r="H3330" s="23"/>
      <c r="I3330" s="4"/>
      <c r="J3330" s="14"/>
    </row>
    <row r="3331" spans="6:10" ht="12.75">
      <c r="F3331" s="17"/>
      <c r="G3331" s="19"/>
      <c r="H3331" s="23"/>
      <c r="I3331" s="4"/>
      <c r="J3331" s="14"/>
    </row>
    <row r="3332" spans="6:10" ht="12.75">
      <c r="F3332" s="17"/>
      <c r="G3332" s="19"/>
      <c r="H3332" s="23"/>
      <c r="I3332" s="4"/>
      <c r="J3332" s="14"/>
    </row>
    <row r="3333" spans="6:10" ht="12.75">
      <c r="F3333" s="17"/>
      <c r="G3333" s="19"/>
      <c r="H3333" s="23"/>
      <c r="I3333" s="4"/>
      <c r="J3333" s="14"/>
    </row>
    <row r="3334" spans="6:10" ht="12.75">
      <c r="F3334" s="17"/>
      <c r="G3334" s="19"/>
      <c r="H3334" s="23"/>
      <c r="I3334" s="4"/>
      <c r="J3334" s="14"/>
    </row>
    <row r="3335" spans="6:10" ht="12.75">
      <c r="F3335" s="17"/>
      <c r="G3335" s="19"/>
      <c r="H3335" s="23"/>
      <c r="I3335" s="4"/>
      <c r="J3335" s="14"/>
    </row>
    <row r="3336" spans="6:10" ht="12.75">
      <c r="F3336" s="17"/>
      <c r="G3336" s="19"/>
      <c r="H3336" s="23"/>
      <c r="I3336" s="4"/>
      <c r="J3336" s="14"/>
    </row>
    <row r="3337" spans="6:10" ht="12.75">
      <c r="F3337" s="17"/>
      <c r="G3337" s="19"/>
      <c r="H3337" s="23"/>
      <c r="I3337" s="4"/>
      <c r="J3337" s="14"/>
    </row>
    <row r="3338" spans="6:10" ht="12.75">
      <c r="F3338" s="17"/>
      <c r="G3338" s="19"/>
      <c r="H3338" s="23"/>
      <c r="I3338" s="4"/>
      <c r="J3338" s="14"/>
    </row>
    <row r="3339" spans="6:10" ht="12.75">
      <c r="F3339" s="17"/>
      <c r="G3339" s="19"/>
      <c r="H3339" s="23"/>
      <c r="I3339" s="4"/>
      <c r="J3339" s="14"/>
    </row>
    <row r="3340" spans="6:10" ht="12.75">
      <c r="F3340" s="17"/>
      <c r="G3340" s="19"/>
      <c r="H3340" s="23"/>
      <c r="I3340" s="4"/>
      <c r="J3340" s="14"/>
    </row>
    <row r="3341" spans="6:10" ht="12.75">
      <c r="F3341" s="17"/>
      <c r="G3341" s="19"/>
      <c r="H3341" s="23"/>
      <c r="I3341" s="4"/>
      <c r="J3341" s="14"/>
    </row>
    <row r="3342" spans="6:10" ht="12.75">
      <c r="F3342" s="17"/>
      <c r="G3342" s="19"/>
      <c r="H3342" s="23"/>
      <c r="I3342" s="4"/>
      <c r="J3342" s="14"/>
    </row>
    <row r="3343" spans="6:10" ht="12.75">
      <c r="F3343" s="17"/>
      <c r="G3343" s="19"/>
      <c r="H3343" s="23"/>
      <c r="I3343" s="4"/>
      <c r="J3343" s="14"/>
    </row>
    <row r="3344" spans="6:10" ht="12.75">
      <c r="F3344" s="17"/>
      <c r="G3344" s="19"/>
      <c r="H3344" s="23"/>
      <c r="I3344" s="4"/>
      <c r="J3344" s="14"/>
    </row>
    <row r="3345" spans="6:10" ht="12.75">
      <c r="F3345" s="17"/>
      <c r="G3345" s="19"/>
      <c r="H3345" s="23"/>
      <c r="I3345" s="4"/>
      <c r="J3345" s="14"/>
    </row>
    <row r="3346" spans="6:10" ht="12.75">
      <c r="F3346" s="17"/>
      <c r="G3346" s="19"/>
      <c r="H3346" s="23"/>
      <c r="I3346" s="4"/>
      <c r="J3346" s="14"/>
    </row>
    <row r="3347" spans="6:10" ht="12.75">
      <c r="F3347" s="17"/>
      <c r="G3347" s="19"/>
      <c r="H3347" s="23"/>
      <c r="I3347" s="4"/>
      <c r="J3347" s="14"/>
    </row>
    <row r="3348" spans="6:10" ht="12.75">
      <c r="F3348" s="17"/>
      <c r="G3348" s="19"/>
      <c r="H3348" s="23"/>
      <c r="I3348" s="4"/>
      <c r="J3348" s="14"/>
    </row>
    <row r="3349" spans="6:10" ht="12.75">
      <c r="F3349" s="17"/>
      <c r="G3349" s="19"/>
      <c r="H3349" s="23"/>
      <c r="I3349" s="4"/>
      <c r="J3349" s="14"/>
    </row>
    <row r="3350" spans="6:10" ht="12.75">
      <c r="F3350" s="17"/>
      <c r="G3350" s="19"/>
      <c r="H3350" s="23"/>
      <c r="I3350" s="4"/>
      <c r="J3350" s="14"/>
    </row>
    <row r="3351" spans="6:10" ht="12.75">
      <c r="F3351" s="17"/>
      <c r="G3351" s="19"/>
      <c r="H3351" s="23"/>
      <c r="I3351" s="4"/>
      <c r="J3351" s="14"/>
    </row>
    <row r="3352" spans="6:10" ht="12.75">
      <c r="F3352" s="17"/>
      <c r="G3352" s="19"/>
      <c r="H3352" s="23"/>
      <c r="I3352" s="4"/>
      <c r="J3352" s="14"/>
    </row>
    <row r="3353" spans="6:10" ht="12.75">
      <c r="F3353" s="17"/>
      <c r="G3353" s="19"/>
      <c r="H3353" s="23"/>
      <c r="I3353" s="4"/>
      <c r="J3353" s="14"/>
    </row>
    <row r="3354" spans="6:10" ht="12.75">
      <c r="F3354" s="17"/>
      <c r="G3354" s="19"/>
      <c r="H3354" s="23"/>
      <c r="I3354" s="4"/>
      <c r="J3354" s="14"/>
    </row>
    <row r="3355" spans="6:10" ht="12.75">
      <c r="F3355" s="17"/>
      <c r="G3355" s="19"/>
      <c r="H3355" s="23"/>
      <c r="I3355" s="4"/>
      <c r="J3355" s="14"/>
    </row>
    <row r="3356" spans="6:10" ht="12.75">
      <c r="F3356" s="17"/>
      <c r="G3356" s="19"/>
      <c r="H3356" s="23"/>
      <c r="I3356" s="4"/>
      <c r="J3356" s="14"/>
    </row>
    <row r="3357" spans="6:10" ht="12.75">
      <c r="F3357" s="17"/>
      <c r="G3357" s="19"/>
      <c r="H3357" s="23"/>
      <c r="I3357" s="4"/>
      <c r="J3357" s="14"/>
    </row>
    <row r="3358" spans="6:10" ht="12.75">
      <c r="F3358" s="17"/>
      <c r="G3358" s="19"/>
      <c r="H3358" s="23"/>
      <c r="I3358" s="4"/>
      <c r="J3358" s="14"/>
    </row>
    <row r="3359" spans="6:10" ht="12.75">
      <c r="F3359" s="17"/>
      <c r="G3359" s="19"/>
      <c r="H3359" s="23"/>
      <c r="I3359" s="4"/>
      <c r="J3359" s="14"/>
    </row>
    <row r="3360" spans="6:10" ht="12.75">
      <c r="F3360" s="17"/>
      <c r="G3360" s="19"/>
      <c r="H3360" s="23"/>
      <c r="I3360" s="4"/>
      <c r="J3360" s="14"/>
    </row>
    <row r="3361" spans="6:10" ht="12.75">
      <c r="F3361" s="17"/>
      <c r="G3361" s="19"/>
      <c r="H3361" s="23"/>
      <c r="I3361" s="4"/>
      <c r="J3361" s="14"/>
    </row>
    <row r="3362" spans="6:10" ht="12.75">
      <c r="F3362" s="17"/>
      <c r="G3362" s="19"/>
      <c r="H3362" s="23"/>
      <c r="I3362" s="4"/>
      <c r="J3362" s="14"/>
    </row>
    <row r="3363" spans="6:10" ht="12.75">
      <c r="F3363" s="17"/>
      <c r="G3363" s="19"/>
      <c r="H3363" s="23"/>
      <c r="I3363" s="4"/>
      <c r="J3363" s="14"/>
    </row>
    <row r="3364" spans="6:10" ht="12.75">
      <c r="F3364" s="17"/>
      <c r="G3364" s="19"/>
      <c r="H3364" s="23"/>
      <c r="I3364" s="4"/>
      <c r="J3364" s="14"/>
    </row>
    <row r="3365" spans="6:10" ht="12.75">
      <c r="F3365" s="17"/>
      <c r="G3365" s="19"/>
      <c r="H3365" s="23"/>
      <c r="I3365" s="4"/>
      <c r="J3365" s="14"/>
    </row>
    <row r="3366" spans="6:10" ht="12.75">
      <c r="F3366" s="17"/>
      <c r="G3366" s="19"/>
      <c r="H3366" s="23"/>
      <c r="I3366" s="4"/>
      <c r="J3366" s="14"/>
    </row>
    <row r="3367" spans="6:10" ht="12.75">
      <c r="F3367" s="17"/>
      <c r="G3367" s="19"/>
      <c r="H3367" s="23"/>
      <c r="I3367" s="4"/>
      <c r="J3367" s="14"/>
    </row>
    <row r="3368" spans="6:10" ht="12.75">
      <c r="F3368" s="17"/>
      <c r="G3368" s="19"/>
      <c r="H3368" s="23"/>
      <c r="I3368" s="4"/>
      <c r="J3368" s="14"/>
    </row>
    <row r="3369" spans="6:10" ht="12.75">
      <c r="F3369" s="17"/>
      <c r="G3369" s="19"/>
      <c r="H3369" s="23"/>
      <c r="I3369" s="4"/>
      <c r="J3369" s="14"/>
    </row>
    <row r="3370" spans="6:10" ht="12.75">
      <c r="F3370" s="17"/>
      <c r="G3370" s="19"/>
      <c r="H3370" s="23"/>
      <c r="I3370" s="4"/>
      <c r="J3370" s="14"/>
    </row>
    <row r="3371" spans="6:10" ht="12.75">
      <c r="F3371" s="17"/>
      <c r="G3371" s="19"/>
      <c r="H3371" s="23"/>
      <c r="I3371" s="4"/>
      <c r="J3371" s="14"/>
    </row>
    <row r="3372" spans="6:10" ht="12.75">
      <c r="F3372" s="17"/>
      <c r="G3372" s="19"/>
      <c r="H3372" s="23"/>
      <c r="I3372" s="4"/>
      <c r="J3372" s="14"/>
    </row>
    <row r="3373" spans="6:10" ht="12.75">
      <c r="F3373" s="17"/>
      <c r="G3373" s="19"/>
      <c r="H3373" s="23"/>
      <c r="I3373" s="4"/>
      <c r="J3373" s="14"/>
    </row>
    <row r="3374" spans="6:10" ht="12.75">
      <c r="F3374" s="17"/>
      <c r="G3374" s="19"/>
      <c r="H3374" s="23"/>
      <c r="I3374" s="4"/>
      <c r="J3374" s="14"/>
    </row>
    <row r="3375" spans="6:10" ht="12.75">
      <c r="F3375" s="17"/>
      <c r="G3375" s="19"/>
      <c r="H3375" s="23"/>
      <c r="I3375" s="4"/>
      <c r="J3375" s="14"/>
    </row>
    <row r="3376" spans="6:10" ht="12.75">
      <c r="F3376" s="17"/>
      <c r="G3376" s="19"/>
      <c r="H3376" s="23"/>
      <c r="I3376" s="4"/>
      <c r="J3376" s="14"/>
    </row>
    <row r="3377" spans="6:10" ht="12.75">
      <c r="F3377" s="17"/>
      <c r="G3377" s="19"/>
      <c r="H3377" s="23"/>
      <c r="I3377" s="4"/>
      <c r="J3377" s="14"/>
    </row>
    <row r="3378" spans="6:10" ht="12.75">
      <c r="F3378" s="17"/>
      <c r="G3378" s="19"/>
      <c r="H3378" s="23"/>
      <c r="I3378" s="4"/>
      <c r="J3378" s="14"/>
    </row>
    <row r="3379" spans="6:10" ht="12.75">
      <c r="F3379" s="17"/>
      <c r="G3379" s="19"/>
      <c r="H3379" s="23"/>
      <c r="I3379" s="4"/>
      <c r="J3379" s="14"/>
    </row>
    <row r="3380" spans="6:10" ht="12.75">
      <c r="F3380" s="17"/>
      <c r="G3380" s="19"/>
      <c r="H3380" s="23"/>
      <c r="I3380" s="4"/>
      <c r="J3380" s="14"/>
    </row>
    <row r="3381" spans="6:10" ht="12.75">
      <c r="F3381" s="17"/>
      <c r="G3381" s="19"/>
      <c r="H3381" s="23"/>
      <c r="I3381" s="4"/>
      <c r="J3381" s="14"/>
    </row>
    <row r="3382" spans="6:10" ht="12.75">
      <c r="F3382" s="17"/>
      <c r="G3382" s="19"/>
      <c r="H3382" s="23"/>
      <c r="I3382" s="4"/>
      <c r="J3382" s="14"/>
    </row>
    <row r="3383" spans="6:10" ht="12.75">
      <c r="F3383" s="17"/>
      <c r="G3383" s="19"/>
      <c r="H3383" s="23"/>
      <c r="I3383" s="4"/>
      <c r="J3383" s="14"/>
    </row>
    <row r="3384" spans="6:10" ht="12.75">
      <c r="F3384" s="17"/>
      <c r="G3384" s="19"/>
      <c r="H3384" s="23"/>
      <c r="I3384" s="4"/>
      <c r="J3384" s="14"/>
    </row>
    <row r="3385" spans="6:10" ht="12.75">
      <c r="F3385" s="17"/>
      <c r="G3385" s="19"/>
      <c r="H3385" s="23"/>
      <c r="I3385" s="4"/>
      <c r="J3385" s="14"/>
    </row>
    <row r="3386" spans="6:10" ht="12.75">
      <c r="F3386" s="17"/>
      <c r="G3386" s="19"/>
      <c r="H3386" s="23"/>
      <c r="I3386" s="4"/>
      <c r="J3386" s="14"/>
    </row>
    <row r="3387" spans="6:10" ht="12.75">
      <c r="F3387" s="17"/>
      <c r="G3387" s="19"/>
      <c r="H3387" s="23"/>
      <c r="I3387" s="4"/>
      <c r="J3387" s="14"/>
    </row>
    <row r="3388" spans="6:10" ht="12.75">
      <c r="F3388" s="17"/>
      <c r="G3388" s="19"/>
      <c r="H3388" s="23"/>
      <c r="I3388" s="4"/>
      <c r="J3388" s="14"/>
    </row>
    <row r="3389" spans="6:10" ht="12.75">
      <c r="F3389" s="17"/>
      <c r="G3389" s="19"/>
      <c r="H3389" s="23"/>
      <c r="I3389" s="4"/>
      <c r="J3389" s="14"/>
    </row>
    <row r="3390" spans="6:10" ht="12.75">
      <c r="F3390" s="17"/>
      <c r="G3390" s="19"/>
      <c r="H3390" s="23"/>
      <c r="I3390" s="4"/>
      <c r="J3390" s="14"/>
    </row>
    <row r="3391" spans="6:10" ht="12.75">
      <c r="F3391" s="17"/>
      <c r="G3391" s="19"/>
      <c r="H3391" s="23"/>
      <c r="I3391" s="4"/>
      <c r="J3391" s="14"/>
    </row>
    <row r="3392" spans="6:10" ht="12.75">
      <c r="F3392" s="17"/>
      <c r="G3392" s="19"/>
      <c r="H3392" s="23"/>
      <c r="I3392" s="4"/>
      <c r="J3392" s="14"/>
    </row>
    <row r="3393" spans="6:10" ht="12.75">
      <c r="F3393" s="17"/>
      <c r="G3393" s="19"/>
      <c r="H3393" s="23"/>
      <c r="I3393" s="4"/>
      <c r="J3393" s="14"/>
    </row>
    <row r="3394" spans="6:10" ht="12.75">
      <c r="F3394" s="17"/>
      <c r="G3394" s="19"/>
      <c r="H3394" s="23"/>
      <c r="I3394" s="4"/>
      <c r="J3394" s="14"/>
    </row>
    <row r="3395" spans="6:10" ht="12.75">
      <c r="F3395" s="17"/>
      <c r="G3395" s="19"/>
      <c r="H3395" s="23"/>
      <c r="I3395" s="4"/>
      <c r="J3395" s="14"/>
    </row>
    <row r="3396" spans="6:10" ht="12.75">
      <c r="F3396" s="17"/>
      <c r="G3396" s="19"/>
      <c r="H3396" s="23"/>
      <c r="I3396" s="4"/>
      <c r="J3396" s="14"/>
    </row>
    <row r="3397" spans="6:10" ht="12.75">
      <c r="F3397" s="17"/>
      <c r="G3397" s="19"/>
      <c r="H3397" s="23"/>
      <c r="I3397" s="4"/>
      <c r="J3397" s="14"/>
    </row>
    <row r="3398" spans="6:10" ht="12.75">
      <c r="F3398" s="17"/>
      <c r="G3398" s="19"/>
      <c r="H3398" s="23"/>
      <c r="I3398" s="4"/>
      <c r="J3398" s="14"/>
    </row>
    <row r="3399" spans="6:10" ht="12.75">
      <c r="F3399" s="17"/>
      <c r="G3399" s="19"/>
      <c r="H3399" s="23"/>
      <c r="I3399" s="4"/>
      <c r="J3399" s="14"/>
    </row>
    <row r="3400" spans="6:10" ht="12.75">
      <c r="F3400" s="17"/>
      <c r="G3400" s="19"/>
      <c r="H3400" s="23"/>
      <c r="I3400" s="4"/>
      <c r="J3400" s="14"/>
    </row>
    <row r="3401" spans="6:10" ht="12.75">
      <c r="F3401" s="17"/>
      <c r="G3401" s="19"/>
      <c r="H3401" s="23"/>
      <c r="I3401" s="4"/>
      <c r="J3401" s="14"/>
    </row>
    <row r="3402" spans="6:10" ht="12.75">
      <c r="F3402" s="17"/>
      <c r="G3402" s="19"/>
      <c r="H3402" s="23"/>
      <c r="I3402" s="4"/>
      <c r="J3402" s="14"/>
    </row>
    <row r="3403" spans="6:10" ht="12.75">
      <c r="F3403" s="17"/>
      <c r="G3403" s="19"/>
      <c r="H3403" s="23"/>
      <c r="I3403" s="4"/>
      <c r="J3403" s="14"/>
    </row>
    <row r="3404" spans="6:10" ht="12.75">
      <c r="F3404" s="17"/>
      <c r="G3404" s="19"/>
      <c r="H3404" s="23"/>
      <c r="I3404" s="4"/>
      <c r="J3404" s="14"/>
    </row>
    <row r="3405" spans="6:10" ht="12.75">
      <c r="F3405" s="17"/>
      <c r="G3405" s="19"/>
      <c r="H3405" s="23"/>
      <c r="I3405" s="4"/>
      <c r="J3405" s="14"/>
    </row>
    <row r="3406" spans="6:10" ht="12.75">
      <c r="F3406" s="17"/>
      <c r="G3406" s="19"/>
      <c r="H3406" s="23"/>
      <c r="I3406" s="4"/>
      <c r="J3406" s="14"/>
    </row>
    <row r="3407" spans="6:10" ht="12.75">
      <c r="F3407" s="17"/>
      <c r="G3407" s="19"/>
      <c r="H3407" s="23"/>
      <c r="I3407" s="4"/>
      <c r="J3407" s="14"/>
    </row>
    <row r="3408" spans="6:10" ht="12.75">
      <c r="F3408" s="17"/>
      <c r="G3408" s="19"/>
      <c r="H3408" s="23"/>
      <c r="I3408" s="4"/>
      <c r="J3408" s="14"/>
    </row>
    <row r="3409" spans="6:10" ht="12.75">
      <c r="F3409" s="17"/>
      <c r="G3409" s="19"/>
      <c r="H3409" s="23"/>
      <c r="I3409" s="4"/>
      <c r="J3409" s="14"/>
    </row>
    <row r="3410" spans="6:10" ht="12.75">
      <c r="F3410" s="17"/>
      <c r="G3410" s="19"/>
      <c r="H3410" s="23"/>
      <c r="I3410" s="4"/>
      <c r="J3410" s="14"/>
    </row>
    <row r="3411" spans="6:10" ht="12.75">
      <c r="F3411" s="17"/>
      <c r="G3411" s="19"/>
      <c r="H3411" s="23"/>
      <c r="I3411" s="4"/>
      <c r="J3411" s="14"/>
    </row>
    <row r="3412" spans="6:10" ht="12.75">
      <c r="F3412" s="17"/>
      <c r="G3412" s="19"/>
      <c r="H3412" s="23"/>
      <c r="I3412" s="4"/>
      <c r="J3412" s="14"/>
    </row>
    <row r="3413" spans="6:10" ht="12.75">
      <c r="F3413" s="17"/>
      <c r="G3413" s="19"/>
      <c r="H3413" s="23"/>
      <c r="I3413" s="4"/>
      <c r="J3413" s="14"/>
    </row>
    <row r="3414" spans="6:10" ht="12.75">
      <c r="F3414" s="17"/>
      <c r="G3414" s="19"/>
      <c r="H3414" s="23"/>
      <c r="I3414" s="4"/>
      <c r="J3414" s="14"/>
    </row>
    <row r="3415" spans="6:10" ht="12.75">
      <c r="F3415" s="17"/>
      <c r="G3415" s="19"/>
      <c r="H3415" s="23"/>
      <c r="I3415" s="4"/>
      <c r="J3415" s="14"/>
    </row>
    <row r="3416" spans="6:10" ht="12.75">
      <c r="F3416" s="17"/>
      <c r="G3416" s="19"/>
      <c r="H3416" s="23"/>
      <c r="I3416" s="4"/>
      <c r="J3416" s="14"/>
    </row>
    <row r="3417" spans="6:10" ht="12.75">
      <c r="F3417" s="17"/>
      <c r="G3417" s="19"/>
      <c r="H3417" s="23"/>
      <c r="I3417" s="4"/>
      <c r="J3417" s="14"/>
    </row>
    <row r="3418" spans="6:10" ht="12.75">
      <c r="F3418" s="17"/>
      <c r="G3418" s="19"/>
      <c r="H3418" s="23"/>
      <c r="I3418" s="4"/>
      <c r="J3418" s="14"/>
    </row>
    <row r="3419" spans="6:10" ht="12.75">
      <c r="F3419" s="17"/>
      <c r="G3419" s="19"/>
      <c r="H3419" s="23"/>
      <c r="I3419" s="4"/>
      <c r="J3419" s="14"/>
    </row>
    <row r="3420" spans="6:10" ht="12.75">
      <c r="F3420" s="17"/>
      <c r="G3420" s="19"/>
      <c r="H3420" s="23"/>
      <c r="I3420" s="4"/>
      <c r="J3420" s="14"/>
    </row>
    <row r="3421" spans="6:10" ht="12.75">
      <c r="F3421" s="17"/>
      <c r="G3421" s="19"/>
      <c r="H3421" s="23"/>
      <c r="I3421" s="4"/>
      <c r="J3421" s="14"/>
    </row>
    <row r="3422" spans="6:10" ht="12.75">
      <c r="F3422" s="17"/>
      <c r="G3422" s="19"/>
      <c r="H3422" s="23"/>
      <c r="I3422" s="4"/>
      <c r="J3422" s="14"/>
    </row>
    <row r="3423" spans="6:10" ht="12.75">
      <c r="F3423" s="17"/>
      <c r="G3423" s="19"/>
      <c r="H3423" s="23"/>
      <c r="I3423" s="4"/>
      <c r="J3423" s="14"/>
    </row>
    <row r="3424" spans="6:10" ht="12.75">
      <c r="F3424" s="17"/>
      <c r="G3424" s="19"/>
      <c r="H3424" s="23"/>
      <c r="I3424" s="4"/>
      <c r="J3424" s="14"/>
    </row>
    <row r="3425" spans="6:10" ht="12.75">
      <c r="F3425" s="17"/>
      <c r="G3425" s="19"/>
      <c r="H3425" s="23"/>
      <c r="I3425" s="4"/>
      <c r="J3425" s="14"/>
    </row>
    <row r="3426" spans="6:10" ht="12.75">
      <c r="F3426" s="17"/>
      <c r="G3426" s="19"/>
      <c r="H3426" s="23"/>
      <c r="I3426" s="4"/>
      <c r="J3426" s="14"/>
    </row>
    <row r="3427" spans="6:10" ht="12.75">
      <c r="F3427" s="17"/>
      <c r="G3427" s="19"/>
      <c r="H3427" s="23"/>
      <c r="I3427" s="4"/>
      <c r="J3427" s="14"/>
    </row>
    <row r="3428" spans="6:10" ht="12.75">
      <c r="F3428" s="17"/>
      <c r="G3428" s="19"/>
      <c r="H3428" s="23"/>
      <c r="I3428" s="4"/>
      <c r="J3428" s="14"/>
    </row>
    <row r="3429" spans="6:10" ht="12.75">
      <c r="F3429" s="17"/>
      <c r="G3429" s="19"/>
      <c r="H3429" s="23"/>
      <c r="I3429" s="4"/>
      <c r="J3429" s="14"/>
    </row>
    <row r="3430" spans="6:10" ht="12.75">
      <c r="F3430" s="17"/>
      <c r="G3430" s="19"/>
      <c r="H3430" s="23"/>
      <c r="I3430" s="4"/>
      <c r="J3430" s="14"/>
    </row>
    <row r="3431" spans="6:10" ht="12.75">
      <c r="F3431" s="17"/>
      <c r="G3431" s="19"/>
      <c r="H3431" s="23"/>
      <c r="I3431" s="4"/>
      <c r="J3431" s="14"/>
    </row>
    <row r="3432" spans="6:10" ht="12.75">
      <c r="F3432" s="17"/>
      <c r="G3432" s="19"/>
      <c r="H3432" s="23"/>
      <c r="I3432" s="4"/>
      <c r="J3432" s="14"/>
    </row>
    <row r="3433" spans="6:10" ht="12.75">
      <c r="F3433" s="17"/>
      <c r="G3433" s="19"/>
      <c r="H3433" s="23"/>
      <c r="I3433" s="4"/>
      <c r="J3433" s="14"/>
    </row>
    <row r="3434" spans="6:10" ht="12.75">
      <c r="F3434" s="17"/>
      <c r="G3434" s="19"/>
      <c r="H3434" s="23"/>
      <c r="I3434" s="4"/>
      <c r="J3434" s="14"/>
    </row>
    <row r="3435" spans="6:10" ht="12.75">
      <c r="F3435" s="17"/>
      <c r="G3435" s="19"/>
      <c r="H3435" s="23"/>
      <c r="I3435" s="4"/>
      <c r="J3435" s="14"/>
    </row>
    <row r="3436" spans="6:10" ht="12.75">
      <c r="F3436" s="17"/>
      <c r="G3436" s="19"/>
      <c r="H3436" s="23"/>
      <c r="I3436" s="4"/>
      <c r="J3436" s="14"/>
    </row>
    <row r="3437" spans="6:10" ht="12.75">
      <c r="F3437" s="17"/>
      <c r="G3437" s="19"/>
      <c r="H3437" s="23"/>
      <c r="I3437" s="4"/>
      <c r="J3437" s="14"/>
    </row>
    <row r="3438" spans="6:10" ht="12.75">
      <c r="F3438" s="17"/>
      <c r="G3438" s="19"/>
      <c r="H3438" s="23"/>
      <c r="I3438" s="4"/>
      <c r="J3438" s="14"/>
    </row>
    <row r="3439" spans="6:10" ht="12.75">
      <c r="F3439" s="17"/>
      <c r="G3439" s="19"/>
      <c r="H3439" s="23"/>
      <c r="I3439" s="4"/>
      <c r="J3439" s="14"/>
    </row>
    <row r="3440" spans="6:10" ht="12.75">
      <c r="F3440" s="17"/>
      <c r="G3440" s="19"/>
      <c r="H3440" s="23"/>
      <c r="I3440" s="4"/>
      <c r="J3440" s="14"/>
    </row>
    <row r="3441" spans="6:10" ht="12.75">
      <c r="F3441" s="17"/>
      <c r="G3441" s="19"/>
      <c r="H3441" s="23"/>
      <c r="I3441" s="4"/>
      <c r="J3441" s="14"/>
    </row>
    <row r="3442" spans="6:10" ht="12.75">
      <c r="F3442" s="17"/>
      <c r="G3442" s="19"/>
      <c r="H3442" s="23"/>
      <c r="I3442" s="4"/>
      <c r="J3442" s="14"/>
    </row>
    <row r="3443" spans="6:10" ht="12.75">
      <c r="F3443" s="17"/>
      <c r="G3443" s="19"/>
      <c r="H3443" s="23"/>
      <c r="I3443" s="4"/>
      <c r="J3443" s="14"/>
    </row>
    <row r="3444" spans="6:10" ht="12.75">
      <c r="F3444" s="17"/>
      <c r="G3444" s="19"/>
      <c r="H3444" s="23"/>
      <c r="I3444" s="4"/>
      <c r="J3444" s="14"/>
    </row>
    <row r="3445" spans="6:10" ht="12.75">
      <c r="F3445" s="17"/>
      <c r="G3445" s="19"/>
      <c r="H3445" s="23"/>
      <c r="I3445" s="4"/>
      <c r="J3445" s="14"/>
    </row>
    <row r="3446" spans="6:10" ht="12.75">
      <c r="F3446" s="17"/>
      <c r="G3446" s="19"/>
      <c r="H3446" s="23"/>
      <c r="I3446" s="4"/>
      <c r="J3446" s="14"/>
    </row>
    <row r="3447" spans="6:10" ht="12.75">
      <c r="F3447" s="17"/>
      <c r="G3447" s="19"/>
      <c r="H3447" s="23"/>
      <c r="I3447" s="4"/>
      <c r="J3447" s="14"/>
    </row>
    <row r="3448" spans="6:10" ht="12.75">
      <c r="F3448" s="17"/>
      <c r="G3448" s="19"/>
      <c r="H3448" s="23"/>
      <c r="I3448" s="4"/>
      <c r="J3448" s="14"/>
    </row>
    <row r="3449" spans="6:10" ht="12.75">
      <c r="F3449" s="17"/>
      <c r="G3449" s="19"/>
      <c r="H3449" s="23"/>
      <c r="I3449" s="4"/>
      <c r="J3449" s="14"/>
    </row>
    <row r="3450" spans="6:10" ht="12.75">
      <c r="F3450" s="17"/>
      <c r="G3450" s="19"/>
      <c r="H3450" s="23"/>
      <c r="I3450" s="4"/>
      <c r="J3450" s="14"/>
    </row>
    <row r="3451" spans="6:10" ht="12.75">
      <c r="F3451" s="17"/>
      <c r="G3451" s="19"/>
      <c r="H3451" s="23"/>
      <c r="I3451" s="4"/>
      <c r="J3451" s="14"/>
    </row>
    <row r="3452" spans="6:10" ht="12.75">
      <c r="F3452" s="17"/>
      <c r="G3452" s="19"/>
      <c r="H3452" s="23"/>
      <c r="I3452" s="4"/>
      <c r="J3452" s="14"/>
    </row>
    <row r="3453" spans="6:10" ht="12.75">
      <c r="F3453" s="17"/>
      <c r="G3453" s="19"/>
      <c r="H3453" s="23"/>
      <c r="I3453" s="4"/>
      <c r="J3453" s="14"/>
    </row>
    <row r="3454" spans="6:10" ht="12.75">
      <c r="F3454" s="17"/>
      <c r="G3454" s="19"/>
      <c r="H3454" s="23"/>
      <c r="I3454" s="4"/>
      <c r="J3454" s="14"/>
    </row>
    <row r="3455" spans="6:10" ht="12.75">
      <c r="F3455" s="17"/>
      <c r="G3455" s="19"/>
      <c r="H3455" s="23"/>
      <c r="I3455" s="4"/>
      <c r="J3455" s="14"/>
    </row>
    <row r="3456" spans="6:10" ht="12.75">
      <c r="F3456" s="17"/>
      <c r="G3456" s="19"/>
      <c r="H3456" s="23"/>
      <c r="I3456" s="4"/>
      <c r="J3456" s="14"/>
    </row>
    <row r="3457" spans="6:10" ht="12.75">
      <c r="F3457" s="17"/>
      <c r="G3457" s="19"/>
      <c r="H3457" s="23"/>
      <c r="I3457" s="4"/>
      <c r="J3457" s="14"/>
    </row>
    <row r="3458" spans="6:10" ht="12.75">
      <c r="F3458" s="17"/>
      <c r="G3458" s="19"/>
      <c r="H3458" s="23"/>
      <c r="I3458" s="4"/>
      <c r="J3458" s="14"/>
    </row>
    <row r="3459" spans="6:10" ht="12.75">
      <c r="F3459" s="17"/>
      <c r="G3459" s="19"/>
      <c r="H3459" s="23"/>
      <c r="I3459" s="4"/>
      <c r="J3459" s="14"/>
    </row>
    <row r="3460" spans="6:10" ht="12.75">
      <c r="F3460" s="17"/>
      <c r="G3460" s="19"/>
      <c r="H3460" s="23"/>
      <c r="I3460" s="4"/>
      <c r="J3460" s="14"/>
    </row>
    <row r="3461" spans="6:10" ht="12.75">
      <c r="F3461" s="17"/>
      <c r="G3461" s="19"/>
      <c r="H3461" s="23"/>
      <c r="I3461" s="4"/>
      <c r="J3461" s="14"/>
    </row>
    <row r="3462" spans="6:10" ht="12.75">
      <c r="F3462" s="17"/>
      <c r="G3462" s="19"/>
      <c r="H3462" s="23"/>
      <c r="I3462" s="4"/>
      <c r="J3462" s="14"/>
    </row>
    <row r="3463" spans="6:10" ht="12.75">
      <c r="F3463" s="17"/>
      <c r="G3463" s="19"/>
      <c r="H3463" s="23"/>
      <c r="I3463" s="4"/>
      <c r="J3463" s="14"/>
    </row>
    <row r="3464" spans="6:10" ht="12.75">
      <c r="F3464" s="17"/>
      <c r="G3464" s="19"/>
      <c r="H3464" s="23"/>
      <c r="I3464" s="4"/>
      <c r="J3464" s="14"/>
    </row>
    <row r="3465" spans="6:10" ht="12.75">
      <c r="F3465" s="17"/>
      <c r="G3465" s="19"/>
      <c r="H3465" s="23"/>
      <c r="I3465" s="4"/>
      <c r="J3465" s="14"/>
    </row>
    <row r="3466" spans="6:10" ht="12.75">
      <c r="F3466" s="17"/>
      <c r="G3466" s="19"/>
      <c r="H3466" s="23"/>
      <c r="I3466" s="4"/>
      <c r="J3466" s="14"/>
    </row>
    <row r="3467" spans="6:10" ht="12.75">
      <c r="F3467" s="17"/>
      <c r="G3467" s="19"/>
      <c r="H3467" s="23"/>
      <c r="I3467" s="4"/>
      <c r="J3467" s="14"/>
    </row>
    <row r="3468" spans="6:10" ht="12.75">
      <c r="F3468" s="17"/>
      <c r="G3468" s="19"/>
      <c r="H3468" s="23"/>
      <c r="I3468" s="4"/>
      <c r="J3468" s="14"/>
    </row>
    <row r="3469" spans="6:10" ht="12.75">
      <c r="F3469" s="17"/>
      <c r="G3469" s="19"/>
      <c r="H3469" s="23"/>
      <c r="I3469" s="4"/>
      <c r="J3469" s="14"/>
    </row>
    <row r="3470" spans="6:10" ht="12.75">
      <c r="F3470" s="17"/>
      <c r="G3470" s="19"/>
      <c r="H3470" s="23"/>
      <c r="I3470" s="4"/>
      <c r="J3470" s="14"/>
    </row>
    <row r="3471" spans="6:10" ht="12.75">
      <c r="F3471" s="17"/>
      <c r="G3471" s="19"/>
      <c r="H3471" s="23"/>
      <c r="I3471" s="4"/>
      <c r="J3471" s="14"/>
    </row>
    <row r="3472" spans="6:10" ht="12.75">
      <c r="F3472" s="17"/>
      <c r="G3472" s="19"/>
      <c r="H3472" s="23"/>
      <c r="I3472" s="4"/>
      <c r="J3472" s="14"/>
    </row>
    <row r="3473" spans="6:10" ht="12.75">
      <c r="F3473" s="17"/>
      <c r="G3473" s="19"/>
      <c r="H3473" s="23"/>
      <c r="I3473" s="4"/>
      <c r="J3473" s="14"/>
    </row>
    <row r="3474" spans="6:10" ht="12.75">
      <c r="F3474" s="17"/>
      <c r="G3474" s="19"/>
      <c r="H3474" s="23"/>
      <c r="I3474" s="4"/>
      <c r="J3474" s="14"/>
    </row>
    <row r="3475" spans="6:10" ht="12.75">
      <c r="F3475" s="17"/>
      <c r="G3475" s="19"/>
      <c r="H3475" s="23"/>
      <c r="I3475" s="4"/>
      <c r="J3475" s="14"/>
    </row>
    <row r="3476" spans="6:10" ht="12.75">
      <c r="F3476" s="17"/>
      <c r="G3476" s="19"/>
      <c r="H3476" s="23"/>
      <c r="I3476" s="4"/>
      <c r="J3476" s="14"/>
    </row>
    <row r="3477" spans="6:10" ht="12.75">
      <c r="F3477" s="17"/>
      <c r="G3477" s="19"/>
      <c r="H3477" s="23"/>
      <c r="I3477" s="4"/>
      <c r="J3477" s="14"/>
    </row>
    <row r="3478" spans="6:10" ht="12.75">
      <c r="F3478" s="17"/>
      <c r="G3478" s="19"/>
      <c r="H3478" s="23"/>
      <c r="I3478" s="4"/>
      <c r="J3478" s="14"/>
    </row>
    <row r="3479" spans="6:10" ht="12.75">
      <c r="F3479" s="17"/>
      <c r="G3479" s="19"/>
      <c r="H3479" s="23"/>
      <c r="I3479" s="4"/>
      <c r="J3479" s="14"/>
    </row>
    <row r="3480" spans="6:10" ht="12.75">
      <c r="F3480" s="17"/>
      <c r="G3480" s="19"/>
      <c r="H3480" s="23"/>
      <c r="I3480" s="4"/>
      <c r="J3480" s="14"/>
    </row>
    <row r="3481" spans="6:10" ht="12.75">
      <c r="F3481" s="17"/>
      <c r="G3481" s="19"/>
      <c r="H3481" s="23"/>
      <c r="I3481" s="4"/>
      <c r="J3481" s="14"/>
    </row>
    <row r="3482" spans="6:10" ht="12.75">
      <c r="F3482" s="17"/>
      <c r="G3482" s="19"/>
      <c r="H3482" s="23"/>
      <c r="I3482" s="4"/>
      <c r="J3482" s="14"/>
    </row>
    <row r="3483" spans="6:10" ht="12.75">
      <c r="F3483" s="17"/>
      <c r="G3483" s="19"/>
      <c r="H3483" s="23"/>
      <c r="I3483" s="4"/>
      <c r="J3483" s="14"/>
    </row>
    <row r="3484" spans="6:10" ht="12.75">
      <c r="F3484" s="17"/>
      <c r="G3484" s="19"/>
      <c r="H3484" s="23"/>
      <c r="I3484" s="4"/>
      <c r="J3484" s="14"/>
    </row>
    <row r="3485" spans="6:10" ht="12.75">
      <c r="F3485" s="17"/>
      <c r="G3485" s="19"/>
      <c r="H3485" s="23"/>
      <c r="I3485" s="4"/>
      <c r="J3485" s="14"/>
    </row>
    <row r="3486" spans="6:10" ht="12.75">
      <c r="F3486" s="17"/>
      <c r="G3486" s="19"/>
      <c r="H3486" s="23"/>
      <c r="I3486" s="4"/>
      <c r="J3486" s="14"/>
    </row>
    <row r="3487" spans="6:10" ht="12.75">
      <c r="F3487" s="17"/>
      <c r="G3487" s="19"/>
      <c r="H3487" s="23"/>
      <c r="I3487" s="4"/>
      <c r="J3487" s="14"/>
    </row>
    <row r="3488" spans="6:10" ht="12.75">
      <c r="F3488" s="17"/>
      <c r="G3488" s="19"/>
      <c r="H3488" s="23"/>
      <c r="I3488" s="4"/>
      <c r="J3488" s="14"/>
    </row>
    <row r="3489" spans="6:10" ht="12.75">
      <c r="F3489" s="17"/>
      <c r="G3489" s="19"/>
      <c r="H3489" s="23"/>
      <c r="I3489" s="4"/>
      <c r="J3489" s="14"/>
    </row>
    <row r="3490" spans="6:10" ht="12.75">
      <c r="F3490" s="17"/>
      <c r="G3490" s="19"/>
      <c r="H3490" s="23"/>
      <c r="I3490" s="4"/>
      <c r="J3490" s="14"/>
    </row>
    <row r="3491" spans="6:10" ht="12.75">
      <c r="F3491" s="17"/>
      <c r="G3491" s="19"/>
      <c r="H3491" s="23"/>
      <c r="I3491" s="4"/>
      <c r="J3491" s="14"/>
    </row>
    <row r="3492" spans="6:10" ht="12.75">
      <c r="F3492" s="17"/>
      <c r="G3492" s="19"/>
      <c r="H3492" s="23"/>
      <c r="I3492" s="4"/>
      <c r="J3492" s="14"/>
    </row>
    <row r="3493" spans="6:10" ht="12.75">
      <c r="F3493" s="17"/>
      <c r="G3493" s="19"/>
      <c r="H3493" s="23"/>
      <c r="I3493" s="4"/>
      <c r="J3493" s="14"/>
    </row>
    <row r="3494" spans="6:10" ht="12.75">
      <c r="F3494" s="17"/>
      <c r="G3494" s="19"/>
      <c r="H3494" s="23"/>
      <c r="I3494" s="4"/>
      <c r="J3494" s="14"/>
    </row>
    <row r="3495" spans="6:10" ht="12.75">
      <c r="F3495" s="17"/>
      <c r="G3495" s="19"/>
      <c r="H3495" s="23"/>
      <c r="I3495" s="4"/>
      <c r="J3495" s="14"/>
    </row>
    <row r="3496" spans="6:10" ht="12.75">
      <c r="F3496" s="17"/>
      <c r="G3496" s="19"/>
      <c r="H3496" s="23"/>
      <c r="I3496" s="4"/>
      <c r="J3496" s="14"/>
    </row>
    <row r="3497" spans="6:10" ht="12.75">
      <c r="F3497" s="17"/>
      <c r="G3497" s="19"/>
      <c r="H3497" s="23"/>
      <c r="I3497" s="4"/>
      <c r="J3497" s="14"/>
    </row>
    <row r="3498" spans="6:10" ht="12.75">
      <c r="F3498" s="17"/>
      <c r="G3498" s="19"/>
      <c r="H3498" s="23"/>
      <c r="I3498" s="4"/>
      <c r="J3498" s="14"/>
    </row>
    <row r="3499" spans="6:10" ht="12.75">
      <c r="F3499" s="17"/>
      <c r="G3499" s="19"/>
      <c r="H3499" s="23"/>
      <c r="I3499" s="4"/>
      <c r="J3499" s="14"/>
    </row>
    <row r="3500" spans="6:10" ht="12.75">
      <c r="F3500" s="17"/>
      <c r="G3500" s="19"/>
      <c r="H3500" s="23"/>
      <c r="I3500" s="4"/>
      <c r="J3500" s="14"/>
    </row>
    <row r="3501" spans="6:10" ht="12.75">
      <c r="F3501" s="17"/>
      <c r="G3501" s="19"/>
      <c r="H3501" s="23"/>
      <c r="I3501" s="4"/>
      <c r="J3501" s="14"/>
    </row>
    <row r="3502" spans="6:10" ht="12.75">
      <c r="F3502" s="17"/>
      <c r="G3502" s="19"/>
      <c r="H3502" s="23"/>
      <c r="I3502" s="4"/>
      <c r="J3502" s="14"/>
    </row>
    <row r="3503" spans="6:10" ht="12.75">
      <c r="F3503" s="17"/>
      <c r="G3503" s="19"/>
      <c r="H3503" s="23"/>
      <c r="I3503" s="4"/>
      <c r="J3503" s="14"/>
    </row>
    <row r="3504" spans="6:10" ht="12.75">
      <c r="F3504" s="17"/>
      <c r="G3504" s="19"/>
      <c r="H3504" s="23"/>
      <c r="I3504" s="4"/>
      <c r="J3504" s="14"/>
    </row>
    <row r="3505" spans="6:10" ht="12.75">
      <c r="F3505" s="17"/>
      <c r="G3505" s="19"/>
      <c r="H3505" s="23"/>
      <c r="I3505" s="4"/>
      <c r="J3505" s="14"/>
    </row>
    <row r="3506" spans="6:10" ht="12.75">
      <c r="F3506" s="17"/>
      <c r="G3506" s="19"/>
      <c r="H3506" s="23"/>
      <c r="I3506" s="4"/>
      <c r="J3506" s="14"/>
    </row>
    <row r="3507" spans="6:10" ht="12.75">
      <c r="F3507" s="17"/>
      <c r="G3507" s="19"/>
      <c r="H3507" s="23"/>
      <c r="I3507" s="4"/>
      <c r="J3507" s="14"/>
    </row>
    <row r="3508" spans="6:10" ht="12.75">
      <c r="F3508" s="17"/>
      <c r="G3508" s="19"/>
      <c r="H3508" s="23"/>
      <c r="I3508" s="4"/>
      <c r="J3508" s="14"/>
    </row>
    <row r="3509" spans="6:10" ht="12.75">
      <c r="F3509" s="17"/>
      <c r="G3509" s="19"/>
      <c r="H3509" s="23"/>
      <c r="I3509" s="4"/>
      <c r="J3509" s="14"/>
    </row>
    <row r="3510" spans="6:10" ht="12.75">
      <c r="F3510" s="17"/>
      <c r="G3510" s="19"/>
      <c r="H3510" s="23"/>
      <c r="I3510" s="4"/>
      <c r="J3510" s="14"/>
    </row>
    <row r="3511" spans="6:10" ht="12.75">
      <c r="F3511" s="17"/>
      <c r="G3511" s="19"/>
      <c r="H3511" s="23"/>
      <c r="I3511" s="4"/>
      <c r="J3511" s="14"/>
    </row>
    <row r="3512" spans="6:10" ht="12.75">
      <c r="F3512" s="17"/>
      <c r="G3512" s="19"/>
      <c r="H3512" s="23"/>
      <c r="I3512" s="4"/>
      <c r="J3512" s="14"/>
    </row>
    <row r="3513" spans="6:10" ht="12.75">
      <c r="F3513" s="17"/>
      <c r="G3513" s="19"/>
      <c r="H3513" s="23"/>
      <c r="I3513" s="4"/>
      <c r="J3513" s="14"/>
    </row>
    <row r="3514" spans="6:10" ht="12.75">
      <c r="F3514" s="17"/>
      <c r="G3514" s="19"/>
      <c r="H3514" s="23"/>
      <c r="I3514" s="4"/>
      <c r="J3514" s="14"/>
    </row>
    <row r="3515" spans="6:10" ht="12.75">
      <c r="F3515" s="17"/>
      <c r="G3515" s="19"/>
      <c r="H3515" s="23"/>
      <c r="I3515" s="4"/>
      <c r="J3515" s="14"/>
    </row>
    <row r="3516" spans="6:10" ht="12.75">
      <c r="F3516" s="17"/>
      <c r="G3516" s="19"/>
      <c r="H3516" s="23"/>
      <c r="I3516" s="4"/>
      <c r="J3516" s="14"/>
    </row>
    <row r="3517" spans="6:10" ht="12.75">
      <c r="F3517" s="17"/>
      <c r="G3517" s="19"/>
      <c r="H3517" s="23"/>
      <c r="I3517" s="4"/>
      <c r="J3517" s="14"/>
    </row>
    <row r="3518" spans="6:10" ht="12.75">
      <c r="F3518" s="17"/>
      <c r="G3518" s="19"/>
      <c r="H3518" s="23"/>
      <c r="I3518" s="4"/>
      <c r="J3518" s="14"/>
    </row>
    <row r="3519" spans="6:10" ht="12.75">
      <c r="F3519" s="17"/>
      <c r="G3519" s="19"/>
      <c r="H3519" s="23"/>
      <c r="I3519" s="4"/>
      <c r="J3519" s="14"/>
    </row>
    <row r="3520" spans="6:10" ht="12.75">
      <c r="F3520" s="17"/>
      <c r="G3520" s="19"/>
      <c r="H3520" s="23"/>
      <c r="I3520" s="4"/>
      <c r="J3520" s="14"/>
    </row>
    <row r="3521" spans="6:10" ht="12.75">
      <c r="F3521" s="17"/>
      <c r="G3521" s="19"/>
      <c r="H3521" s="23"/>
      <c r="I3521" s="4"/>
      <c r="J3521" s="14"/>
    </row>
    <row r="3522" spans="6:10" ht="12.75">
      <c r="F3522" s="17"/>
      <c r="G3522" s="19"/>
      <c r="H3522" s="23"/>
      <c r="I3522" s="4"/>
      <c r="J3522" s="14"/>
    </row>
    <row r="3523" spans="6:10" ht="12.75">
      <c r="F3523" s="17"/>
      <c r="G3523" s="19"/>
      <c r="H3523" s="23"/>
      <c r="I3523" s="4"/>
      <c r="J3523" s="14"/>
    </row>
    <row r="3524" spans="6:10" ht="12.75">
      <c r="F3524" s="17"/>
      <c r="G3524" s="19"/>
      <c r="H3524" s="23"/>
      <c r="I3524" s="4"/>
      <c r="J3524" s="14"/>
    </row>
    <row r="3525" spans="6:10" ht="12.75">
      <c r="F3525" s="17"/>
      <c r="G3525" s="19"/>
      <c r="H3525" s="23"/>
      <c r="I3525" s="4"/>
      <c r="J3525" s="14"/>
    </row>
    <row r="3526" spans="6:10" ht="12.75">
      <c r="F3526" s="17"/>
      <c r="G3526" s="19"/>
      <c r="H3526" s="23"/>
      <c r="I3526" s="4"/>
      <c r="J3526" s="14"/>
    </row>
    <row r="3527" spans="6:10" ht="12.75">
      <c r="F3527" s="17"/>
      <c r="G3527" s="19"/>
      <c r="H3527" s="23"/>
      <c r="I3527" s="4"/>
      <c r="J3527" s="14"/>
    </row>
    <row r="3528" spans="6:10" ht="12.75">
      <c r="F3528" s="17"/>
      <c r="G3528" s="19"/>
      <c r="H3528" s="23"/>
      <c r="I3528" s="4"/>
      <c r="J3528" s="14"/>
    </row>
    <row r="3529" spans="6:10" ht="12.75">
      <c r="F3529" s="17"/>
      <c r="G3529" s="19"/>
      <c r="H3529" s="23"/>
      <c r="I3529" s="4"/>
      <c r="J3529" s="14"/>
    </row>
    <row r="3530" spans="6:10" ht="12.75">
      <c r="F3530" s="17"/>
      <c r="G3530" s="19"/>
      <c r="H3530" s="23"/>
      <c r="I3530" s="4"/>
      <c r="J3530" s="14"/>
    </row>
    <row r="3531" spans="6:10" ht="12.75">
      <c r="F3531" s="17"/>
      <c r="G3531" s="19"/>
      <c r="H3531" s="23"/>
      <c r="I3531" s="4"/>
      <c r="J3531" s="14"/>
    </row>
    <row r="3532" spans="6:10" ht="12.75">
      <c r="F3532" s="17"/>
      <c r="G3532" s="19"/>
      <c r="H3532" s="23"/>
      <c r="I3532" s="4"/>
      <c r="J3532" s="14"/>
    </row>
    <row r="3533" spans="6:10" ht="12.75">
      <c r="F3533" s="17"/>
      <c r="G3533" s="19"/>
      <c r="H3533" s="23"/>
      <c r="I3533" s="4"/>
      <c r="J3533" s="14"/>
    </row>
    <row r="3534" spans="6:10" ht="12.75">
      <c r="F3534" s="17"/>
      <c r="G3534" s="19"/>
      <c r="H3534" s="23"/>
      <c r="I3534" s="4"/>
      <c r="J3534" s="14"/>
    </row>
    <row r="3535" spans="6:10" ht="12.75">
      <c r="F3535" s="17"/>
      <c r="G3535" s="19"/>
      <c r="H3535" s="23"/>
      <c r="I3535" s="4"/>
      <c r="J3535" s="14"/>
    </row>
    <row r="3536" spans="6:10" ht="12.75">
      <c r="F3536" s="17"/>
      <c r="G3536" s="19"/>
      <c r="H3536" s="23"/>
      <c r="I3536" s="4"/>
      <c r="J3536" s="14"/>
    </row>
    <row r="3537" spans="6:10" ht="12.75">
      <c r="F3537" s="17"/>
      <c r="G3537" s="19"/>
      <c r="H3537" s="23"/>
      <c r="I3537" s="4"/>
      <c r="J3537" s="14"/>
    </row>
    <row r="3538" spans="6:10" ht="12.75">
      <c r="F3538" s="17"/>
      <c r="G3538" s="19"/>
      <c r="H3538" s="23"/>
      <c r="I3538" s="4"/>
      <c r="J3538" s="14"/>
    </row>
    <row r="3539" spans="6:10" ht="12.75">
      <c r="F3539" s="17"/>
      <c r="G3539" s="19"/>
      <c r="H3539" s="23"/>
      <c r="I3539" s="4"/>
      <c r="J3539" s="14"/>
    </row>
    <row r="3540" spans="6:10" ht="12.75">
      <c r="F3540" s="17"/>
      <c r="G3540" s="19"/>
      <c r="H3540" s="23"/>
      <c r="I3540" s="4"/>
      <c r="J3540" s="14"/>
    </row>
    <row r="3541" spans="6:10" ht="12.75">
      <c r="F3541" s="17"/>
      <c r="G3541" s="19"/>
      <c r="H3541" s="23"/>
      <c r="I3541" s="4"/>
      <c r="J3541" s="14"/>
    </row>
    <row r="3542" spans="6:10" ht="12.75">
      <c r="F3542" s="17"/>
      <c r="G3542" s="19"/>
      <c r="H3542" s="23"/>
      <c r="I3542" s="4"/>
      <c r="J3542" s="14"/>
    </row>
    <row r="3543" spans="6:10" ht="12.75">
      <c r="F3543" s="17"/>
      <c r="G3543" s="19"/>
      <c r="H3543" s="23"/>
      <c r="I3543" s="4"/>
      <c r="J3543" s="14"/>
    </row>
    <row r="3544" spans="6:10" ht="12.75">
      <c r="F3544" s="17"/>
      <c r="G3544" s="19"/>
      <c r="H3544" s="23"/>
      <c r="I3544" s="4"/>
      <c r="J3544" s="14"/>
    </row>
    <row r="3545" spans="6:10" ht="12.75">
      <c r="F3545" s="17"/>
      <c r="G3545" s="19"/>
      <c r="H3545" s="23"/>
      <c r="I3545" s="4"/>
      <c r="J3545" s="14"/>
    </row>
    <row r="3546" spans="6:10" ht="12.75">
      <c r="F3546" s="17"/>
      <c r="G3546" s="19"/>
      <c r="H3546" s="23"/>
      <c r="I3546" s="4"/>
      <c r="J3546" s="14"/>
    </row>
    <row r="3547" spans="6:10" ht="12.75">
      <c r="F3547" s="17"/>
      <c r="G3547" s="19"/>
      <c r="H3547" s="23"/>
      <c r="I3547" s="4"/>
      <c r="J3547" s="14"/>
    </row>
    <row r="3548" spans="6:10" ht="12.75">
      <c r="F3548" s="17"/>
      <c r="G3548" s="19"/>
      <c r="H3548" s="23"/>
      <c r="I3548" s="4"/>
      <c r="J3548" s="14"/>
    </row>
    <row r="3549" spans="6:10" ht="12.75">
      <c r="F3549" s="17"/>
      <c r="G3549" s="19"/>
      <c r="H3549" s="23"/>
      <c r="I3549" s="4"/>
      <c r="J3549" s="14"/>
    </row>
    <row r="3550" spans="6:10" ht="12.75">
      <c r="F3550" s="17"/>
      <c r="G3550" s="19"/>
      <c r="H3550" s="23"/>
      <c r="I3550" s="4"/>
      <c r="J3550" s="14"/>
    </row>
    <row r="3551" spans="6:10" ht="12.75">
      <c r="F3551" s="17"/>
      <c r="G3551" s="19"/>
      <c r="H3551" s="23"/>
      <c r="I3551" s="4"/>
      <c r="J3551" s="14"/>
    </row>
    <row r="3552" spans="6:10" ht="12.75">
      <c r="F3552" s="17"/>
      <c r="G3552" s="19"/>
      <c r="H3552" s="23"/>
      <c r="I3552" s="4"/>
      <c r="J3552" s="14"/>
    </row>
    <row r="3553" spans="6:10" ht="12.75">
      <c r="F3553" s="17"/>
      <c r="G3553" s="19"/>
      <c r="H3553" s="23"/>
      <c r="I3553" s="4"/>
      <c r="J3553" s="14"/>
    </row>
    <row r="3554" spans="6:10" ht="12.75">
      <c r="F3554" s="17"/>
      <c r="G3554" s="19"/>
      <c r="H3554" s="23"/>
      <c r="I3554" s="4"/>
      <c r="J3554" s="14"/>
    </row>
    <row r="3555" spans="6:10" ht="12.75">
      <c r="F3555" s="17"/>
      <c r="G3555" s="19"/>
      <c r="H3555" s="23"/>
      <c r="I3555" s="4"/>
      <c r="J3555" s="14"/>
    </row>
    <row r="3556" spans="6:10" ht="12.75">
      <c r="F3556" s="17"/>
      <c r="G3556" s="19"/>
      <c r="H3556" s="23"/>
      <c r="I3556" s="4"/>
      <c r="J3556" s="14"/>
    </row>
    <row r="3557" spans="6:10" ht="12.75">
      <c r="F3557" s="17"/>
      <c r="G3557" s="19"/>
      <c r="H3557" s="23"/>
      <c r="I3557" s="4"/>
      <c r="J3557" s="14"/>
    </row>
    <row r="3558" spans="6:10" ht="12.75">
      <c r="F3558" s="17"/>
      <c r="G3558" s="19"/>
      <c r="H3558" s="23"/>
      <c r="I3558" s="4"/>
      <c r="J3558" s="14"/>
    </row>
    <row r="3559" spans="6:10" ht="12.75">
      <c r="F3559" s="17"/>
      <c r="G3559" s="19"/>
      <c r="H3559" s="23"/>
      <c r="I3559" s="4"/>
      <c r="J3559" s="14"/>
    </row>
    <row r="3560" spans="6:10" ht="12.75">
      <c r="F3560" s="17"/>
      <c r="G3560" s="19"/>
      <c r="H3560" s="23"/>
      <c r="I3560" s="4"/>
      <c r="J3560" s="14"/>
    </row>
    <row r="3561" spans="6:10" ht="12.75">
      <c r="F3561" s="17"/>
      <c r="G3561" s="19"/>
      <c r="H3561" s="23"/>
      <c r="I3561" s="4"/>
      <c r="J3561" s="14"/>
    </row>
    <row r="3562" spans="6:10" ht="12.75">
      <c r="F3562" s="17"/>
      <c r="G3562" s="19"/>
      <c r="H3562" s="23"/>
      <c r="I3562" s="4"/>
      <c r="J3562" s="14"/>
    </row>
    <row r="3563" spans="6:10" ht="12.75">
      <c r="F3563" s="17"/>
      <c r="G3563" s="19"/>
      <c r="H3563" s="23"/>
      <c r="I3563" s="4"/>
      <c r="J3563" s="14"/>
    </row>
    <row r="3564" spans="6:10" ht="12.75">
      <c r="F3564" s="17"/>
      <c r="G3564" s="19"/>
      <c r="H3564" s="23"/>
      <c r="I3564" s="4"/>
      <c r="J3564" s="14"/>
    </row>
    <row r="3565" spans="6:10" ht="12.75">
      <c r="F3565" s="17"/>
      <c r="G3565" s="19"/>
      <c r="H3565" s="23"/>
      <c r="I3565" s="4"/>
      <c r="J3565" s="14"/>
    </row>
    <row r="3566" spans="6:10" ht="12.75">
      <c r="F3566" s="17"/>
      <c r="G3566" s="19"/>
      <c r="H3566" s="23"/>
      <c r="I3566" s="4"/>
      <c r="J3566" s="14"/>
    </row>
    <row r="3567" spans="6:10" ht="12.75">
      <c r="F3567" s="17"/>
      <c r="G3567" s="19"/>
      <c r="H3567" s="23"/>
      <c r="I3567" s="4"/>
      <c r="J3567" s="14"/>
    </row>
    <row r="3568" spans="6:10" ht="12.75">
      <c r="F3568" s="17"/>
      <c r="G3568" s="19"/>
      <c r="H3568" s="23"/>
      <c r="I3568" s="4"/>
      <c r="J3568" s="14"/>
    </row>
    <row r="3569" spans="6:10" ht="12.75">
      <c r="F3569" s="17"/>
      <c r="G3569" s="19"/>
      <c r="H3569" s="23"/>
      <c r="I3569" s="4"/>
      <c r="J3569" s="14"/>
    </row>
    <row r="3570" spans="6:10" ht="12.75">
      <c r="F3570" s="17"/>
      <c r="G3570" s="19"/>
      <c r="H3570" s="23"/>
      <c r="I3570" s="4"/>
      <c r="J3570" s="14"/>
    </row>
    <row r="3571" spans="6:10" ht="12.75">
      <c r="F3571" s="17"/>
      <c r="G3571" s="19"/>
      <c r="H3571" s="23"/>
      <c r="I3571" s="4"/>
      <c r="J3571" s="14"/>
    </row>
    <row r="3572" spans="6:10" ht="12.75">
      <c r="F3572" s="17"/>
      <c r="G3572" s="19"/>
      <c r="H3572" s="23"/>
      <c r="I3572" s="4"/>
      <c r="J3572" s="14"/>
    </row>
    <row r="3573" spans="6:10" ht="12.75">
      <c r="F3573" s="17"/>
      <c r="G3573" s="19"/>
      <c r="H3573" s="23"/>
      <c r="I3573" s="4"/>
      <c r="J3573" s="14"/>
    </row>
    <row r="3574" spans="6:10" ht="12.75">
      <c r="F3574" s="17"/>
      <c r="G3574" s="19"/>
      <c r="H3574" s="23"/>
      <c r="I3574" s="4"/>
      <c r="J3574" s="14"/>
    </row>
    <row r="3575" spans="6:10" ht="12.75">
      <c r="F3575" s="17"/>
      <c r="G3575" s="19"/>
      <c r="H3575" s="23"/>
      <c r="I3575" s="4"/>
      <c r="J3575" s="14"/>
    </row>
    <row r="3576" spans="6:10" ht="12.75">
      <c r="F3576" s="17"/>
      <c r="G3576" s="19"/>
      <c r="H3576" s="23"/>
      <c r="I3576" s="4"/>
      <c r="J3576" s="14"/>
    </row>
    <row r="3577" spans="6:10" ht="12.75">
      <c r="F3577" s="17"/>
      <c r="G3577" s="19"/>
      <c r="H3577" s="23"/>
      <c r="I3577" s="4"/>
      <c r="J3577" s="14"/>
    </row>
    <row r="3578" spans="6:10" ht="12.75">
      <c r="F3578" s="17"/>
      <c r="G3578" s="19"/>
      <c r="H3578" s="23"/>
      <c r="I3578" s="4"/>
      <c r="J3578" s="14"/>
    </row>
    <row r="3579" spans="6:10" ht="12.75">
      <c r="F3579" s="17"/>
      <c r="G3579" s="19"/>
      <c r="H3579" s="23"/>
      <c r="I3579" s="4"/>
      <c r="J3579" s="14"/>
    </row>
    <row r="3580" spans="6:10" ht="12.75">
      <c r="F3580" s="17"/>
      <c r="G3580" s="19"/>
      <c r="H3580" s="23"/>
      <c r="I3580" s="4"/>
      <c r="J3580" s="14"/>
    </row>
    <row r="3581" spans="6:10" ht="12.75">
      <c r="F3581" s="17"/>
      <c r="G3581" s="19"/>
      <c r="H3581" s="23"/>
      <c r="I3581" s="4"/>
      <c r="J3581" s="14"/>
    </row>
    <row r="3582" spans="6:10" ht="12.75">
      <c r="F3582" s="17"/>
      <c r="G3582" s="19"/>
      <c r="H3582" s="23"/>
      <c r="I3582" s="4"/>
      <c r="J3582" s="14"/>
    </row>
    <row r="3583" spans="6:10" ht="12.75">
      <c r="F3583" s="17"/>
      <c r="G3583" s="19"/>
      <c r="H3583" s="23"/>
      <c r="I3583" s="4"/>
      <c r="J3583" s="14"/>
    </row>
    <row r="3584" spans="6:10" ht="12.75">
      <c r="F3584" s="17"/>
      <c r="G3584" s="19"/>
      <c r="H3584" s="23"/>
      <c r="I3584" s="4"/>
      <c r="J3584" s="14"/>
    </row>
    <row r="3585" spans="6:10" ht="12.75">
      <c r="F3585" s="17"/>
      <c r="G3585" s="19"/>
      <c r="H3585" s="23"/>
      <c r="I3585" s="4"/>
      <c r="J3585" s="14"/>
    </row>
    <row r="3586" spans="6:10" ht="12.75">
      <c r="F3586" s="17"/>
      <c r="G3586" s="19"/>
      <c r="H3586" s="23"/>
      <c r="I3586" s="4"/>
      <c r="J3586" s="14"/>
    </row>
    <row r="3587" spans="6:10" ht="12.75">
      <c r="F3587" s="17"/>
      <c r="G3587" s="19"/>
      <c r="H3587" s="23"/>
      <c r="I3587" s="4"/>
      <c r="J3587" s="14"/>
    </row>
    <row r="3588" spans="6:10" ht="12.75">
      <c r="F3588" s="17"/>
      <c r="G3588" s="19"/>
      <c r="H3588" s="23"/>
      <c r="I3588" s="4"/>
      <c r="J3588" s="14"/>
    </row>
    <row r="3589" spans="6:10" ht="12.75">
      <c r="F3589" s="17"/>
      <c r="G3589" s="19"/>
      <c r="H3589" s="23"/>
      <c r="I3589" s="4"/>
      <c r="J3589" s="14"/>
    </row>
    <row r="3590" spans="6:10" ht="12.75">
      <c r="F3590" s="17"/>
      <c r="G3590" s="19"/>
      <c r="H3590" s="23"/>
      <c r="I3590" s="4"/>
      <c r="J3590" s="14"/>
    </row>
    <row r="3591" spans="6:10" ht="12.75">
      <c r="F3591" s="17"/>
      <c r="G3591" s="19"/>
      <c r="H3591" s="23"/>
      <c r="I3591" s="4"/>
      <c r="J3591" s="14"/>
    </row>
    <row r="3592" spans="6:10" ht="12.75">
      <c r="F3592" s="17"/>
      <c r="G3592" s="19"/>
      <c r="H3592" s="23"/>
      <c r="I3592" s="4"/>
      <c r="J3592" s="14"/>
    </row>
    <row r="3593" spans="6:10" ht="12.75">
      <c r="F3593" s="17"/>
      <c r="G3593" s="19"/>
      <c r="H3593" s="23"/>
      <c r="I3593" s="4"/>
      <c r="J3593" s="14"/>
    </row>
    <row r="3594" spans="6:10" ht="12.75">
      <c r="F3594" s="17"/>
      <c r="G3594" s="19"/>
      <c r="H3594" s="23"/>
      <c r="I3594" s="4"/>
      <c r="J3594" s="14"/>
    </row>
    <row r="3595" spans="6:10" ht="12.75">
      <c r="F3595" s="17"/>
      <c r="G3595" s="19"/>
      <c r="H3595" s="23"/>
      <c r="I3595" s="4"/>
      <c r="J3595" s="14"/>
    </row>
    <row r="3596" spans="6:10" ht="12.75">
      <c r="F3596" s="17"/>
      <c r="G3596" s="19"/>
      <c r="H3596" s="23"/>
      <c r="I3596" s="4"/>
      <c r="J3596" s="14"/>
    </row>
    <row r="3597" spans="6:10" ht="12.75">
      <c r="F3597" s="17"/>
      <c r="G3597" s="19"/>
      <c r="H3597" s="23"/>
      <c r="I3597" s="4"/>
      <c r="J3597" s="14"/>
    </row>
    <row r="3598" spans="6:10" ht="12.75">
      <c r="F3598" s="17"/>
      <c r="G3598" s="19"/>
      <c r="H3598" s="23"/>
      <c r="I3598" s="4"/>
      <c r="J3598" s="14"/>
    </row>
    <row r="3599" spans="6:10" ht="12.75">
      <c r="F3599" s="17"/>
      <c r="G3599" s="19"/>
      <c r="H3599" s="23"/>
      <c r="I3599" s="4"/>
      <c r="J3599" s="14"/>
    </row>
    <row r="3600" spans="6:10" ht="12.75">
      <c r="F3600" s="17"/>
      <c r="G3600" s="19"/>
      <c r="H3600" s="23"/>
      <c r="I3600" s="4"/>
      <c r="J3600" s="14"/>
    </row>
    <row r="3601" spans="6:10" ht="12.75">
      <c r="F3601" s="17"/>
      <c r="G3601" s="19"/>
      <c r="H3601" s="23"/>
      <c r="I3601" s="4"/>
      <c r="J3601" s="14"/>
    </row>
    <row r="3602" spans="6:10" ht="12.75">
      <c r="F3602" s="17"/>
      <c r="G3602" s="19"/>
      <c r="H3602" s="23"/>
      <c r="I3602" s="4"/>
      <c r="J3602" s="14"/>
    </row>
    <row r="3603" spans="6:10" ht="12.75">
      <c r="F3603" s="17"/>
      <c r="G3603" s="19"/>
      <c r="H3603" s="23"/>
      <c r="I3603" s="4"/>
      <c r="J3603" s="14"/>
    </row>
    <row r="3604" spans="6:10" ht="12.75">
      <c r="F3604" s="17"/>
      <c r="G3604" s="19"/>
      <c r="H3604" s="23"/>
      <c r="I3604" s="4"/>
      <c r="J3604" s="14"/>
    </row>
    <row r="3605" spans="6:10" ht="12.75">
      <c r="F3605" s="17"/>
      <c r="G3605" s="19"/>
      <c r="H3605" s="23"/>
      <c r="I3605" s="4"/>
      <c r="J3605" s="14"/>
    </row>
    <row r="3606" spans="6:10" ht="12.75">
      <c r="F3606" s="17"/>
      <c r="G3606" s="19"/>
      <c r="H3606" s="23"/>
      <c r="I3606" s="4"/>
      <c r="J3606" s="14"/>
    </row>
    <row r="3607" spans="6:10" ht="12.75">
      <c r="F3607" s="17"/>
      <c r="G3607" s="19"/>
      <c r="H3607" s="23"/>
      <c r="I3607" s="4"/>
      <c r="J3607" s="14"/>
    </row>
    <row r="3608" spans="6:10" ht="12.75">
      <c r="F3608" s="17"/>
      <c r="G3608" s="19"/>
      <c r="H3608" s="23"/>
      <c r="I3608" s="4"/>
      <c r="J3608" s="14"/>
    </row>
    <row r="3609" spans="6:10" ht="12.75">
      <c r="F3609" s="17"/>
      <c r="G3609" s="19"/>
      <c r="H3609" s="23"/>
      <c r="I3609" s="4"/>
      <c r="J3609" s="14"/>
    </row>
    <row r="3610" spans="6:10" ht="12.75">
      <c r="F3610" s="17"/>
      <c r="G3610" s="19"/>
      <c r="H3610" s="23"/>
      <c r="I3610" s="4"/>
      <c r="J3610" s="14"/>
    </row>
    <row r="3611" spans="6:10" ht="12.75">
      <c r="F3611" s="17"/>
      <c r="G3611" s="19"/>
      <c r="H3611" s="23"/>
      <c r="I3611" s="4"/>
      <c r="J3611" s="14"/>
    </row>
    <row r="3612" spans="6:10" ht="12.75">
      <c r="F3612" s="17"/>
      <c r="G3612" s="19"/>
      <c r="H3612" s="23"/>
      <c r="I3612" s="4"/>
      <c r="J3612" s="14"/>
    </row>
    <row r="3613" spans="6:10" ht="12.75">
      <c r="F3613" s="17"/>
      <c r="G3613" s="19"/>
      <c r="H3613" s="23"/>
      <c r="I3613" s="4"/>
      <c r="J3613" s="14"/>
    </row>
    <row r="3614" spans="6:10" ht="12.75">
      <c r="F3614" s="17"/>
      <c r="G3614" s="19"/>
      <c r="H3614" s="23"/>
      <c r="I3614" s="4"/>
      <c r="J3614" s="14"/>
    </row>
    <row r="3615" spans="6:10" ht="12.75">
      <c r="F3615" s="17"/>
      <c r="G3615" s="19"/>
      <c r="H3615" s="23"/>
      <c r="I3615" s="4"/>
      <c r="J3615" s="14"/>
    </row>
    <row r="3616" spans="6:10" ht="12.75">
      <c r="F3616" s="17"/>
      <c r="G3616" s="19"/>
      <c r="H3616" s="23"/>
      <c r="I3616" s="4"/>
      <c r="J3616" s="14"/>
    </row>
  </sheetData>
  <sheetProtection password="CC0D" sheet="1" objects="1" scenarios="1" formatCells="0" formatColumns="0" formatRows="0" sort="0"/>
  <protectedRanges>
    <protectedRange password="CF3B" sqref="A11 D11:F11" name="Range1"/>
    <protectedRange password="CF3B" sqref="F22:F25" name="Range1_3_1"/>
    <protectedRange password="CF3B" sqref="D22:D25" name="Range1_1_1_2"/>
    <protectedRange password="CF3B" sqref="F12:F21 F26:F31" name="Range1_3_1_1"/>
    <protectedRange password="CF3B" sqref="E12:E31" name="Range1_4_1_1"/>
    <protectedRange password="CF3B" sqref="D12:D21 D26:D31" name="Range1_1_1_2_1"/>
  </protectedRanges>
  <mergeCells count="38">
    <mergeCell ref="AS11:AT11"/>
    <mergeCell ref="AV11:AW11"/>
    <mergeCell ref="AY11:AZ11"/>
    <mergeCell ref="BN11:BO11"/>
    <mergeCell ref="BQ11:BR11"/>
    <mergeCell ref="BB11:BC11"/>
    <mergeCell ref="BE11:BF11"/>
    <mergeCell ref="BH11:BI11"/>
    <mergeCell ref="BK11:BL11"/>
    <mergeCell ref="AJ11:AK11"/>
    <mergeCell ref="AM11:AN11"/>
    <mergeCell ref="AP11:AQ11"/>
    <mergeCell ref="A7:C8"/>
    <mergeCell ref="B1:I1"/>
    <mergeCell ref="D3:H3"/>
    <mergeCell ref="E4:G4"/>
    <mergeCell ref="F5:H7"/>
    <mergeCell ref="E5:E7"/>
    <mergeCell ref="A2:G2"/>
    <mergeCell ref="A3:C3"/>
    <mergeCell ref="A4:C4"/>
    <mergeCell ref="A5:C5"/>
    <mergeCell ref="A6:C6"/>
    <mergeCell ref="A33:B33"/>
    <mergeCell ref="K9:K11"/>
    <mergeCell ref="J9:J11"/>
    <mergeCell ref="A32:B32"/>
    <mergeCell ref="C32:H32"/>
    <mergeCell ref="BY11:CA11"/>
    <mergeCell ref="A9:H10"/>
    <mergeCell ref="AA11:AB11"/>
    <mergeCell ref="R11:S11"/>
    <mergeCell ref="U11:V11"/>
    <mergeCell ref="X11:Y11"/>
    <mergeCell ref="T5:X9"/>
    <mergeCell ref="Y3:AE7"/>
    <mergeCell ref="AD11:AE11"/>
    <mergeCell ref="AG11:AH11"/>
  </mergeCells>
  <conditionalFormatting sqref="D4">
    <cfRule type="expression" priority="1" dxfId="1" stopIfTrue="1">
      <formula>AND(H4&gt;0,D4=0)</formula>
    </cfRule>
  </conditionalFormatting>
  <conditionalFormatting sqref="A32">
    <cfRule type="expression" priority="2" dxfId="6" stopIfTrue="1">
      <formula>SUM(C34:C38)&gt;0</formula>
    </cfRule>
    <cfRule type="expression" priority="3" dxfId="7" stopIfTrue="1">
      <formula>SUM(C41:C43)&gt;0</formula>
    </cfRule>
  </conditionalFormatting>
  <conditionalFormatting sqref="H4">
    <cfRule type="expression" priority="4" dxfId="8" stopIfTrue="1">
      <formula>E12&gt;0</formula>
    </cfRule>
  </conditionalFormatting>
  <conditionalFormatting sqref="F12:F31">
    <cfRule type="expression" priority="5" dxfId="0" stopIfTrue="1">
      <formula>AND(D12&gt;0,F12=0)</formula>
    </cfRule>
    <cfRule type="cellIs" priority="6" dxfId="1" operator="greaterThan" stopIfTrue="1">
      <formula>0.1</formula>
    </cfRule>
  </conditionalFormatting>
  <conditionalFormatting sqref="C13:C31">
    <cfRule type="expression" priority="7" dxfId="0" stopIfTrue="1">
      <formula>AND(C13=0,E13&gt;0)</formula>
    </cfRule>
  </conditionalFormatting>
  <conditionalFormatting sqref="A7:C8">
    <cfRule type="expression" priority="8" dxfId="9" stopIfTrue="1">
      <formula>AND(D7&gt;0,NOT(D7=""))</formula>
    </cfRule>
  </conditionalFormatting>
  <conditionalFormatting sqref="C12">
    <cfRule type="expression" priority="9" dxfId="10" stopIfTrue="1">
      <formula>AND(C12=0,E12&gt;0)</formula>
    </cfRule>
  </conditionalFormatting>
  <conditionalFormatting sqref="C32:H32">
    <cfRule type="expression" priority="10" dxfId="9" stopIfTrue="1">
      <formula>A32="error!"</formula>
    </cfRule>
  </conditionalFormatting>
  <conditionalFormatting sqref="H12:H31">
    <cfRule type="expression" priority="11" dxfId="1" stopIfTrue="1">
      <formula>AND(D12&gt;0,H12=0,SUM(E12:$E$31)&gt;0,OR(AND(SUM(H12:$H$31)&gt;0),AND(SUM(H$12:$H12)&gt;0)))</formula>
    </cfRule>
    <cfRule type="expression" priority="12" dxfId="0" stopIfTrue="1">
      <formula>AND(D12&gt;0,E12&gt;0,H12=0,$I$56=0)</formula>
    </cfRule>
  </conditionalFormatting>
  <conditionalFormatting sqref="D12:D31">
    <cfRule type="expression" priority="13" dxfId="1" stopIfTrue="1">
      <formula>AND(C12&gt;0,D12=0,E12&gt;0)</formula>
    </cfRule>
    <cfRule type="expression" priority="14" dxfId="1" stopIfTrue="1">
      <formula>AND(C12&gt;0,D12=0)</formula>
    </cfRule>
  </conditionalFormatting>
  <conditionalFormatting sqref="F5:H7">
    <cfRule type="expression" priority="15" dxfId="9" stopIfTrue="1">
      <formula>OR(A32="error!",NOT(ISERROR(R7)))</formula>
    </cfRule>
  </conditionalFormatting>
  <conditionalFormatting sqref="E5:E7">
    <cfRule type="expression" priority="16" dxfId="9" stopIfTrue="1">
      <formula>OR(A32="error!",NOT(ISERROR(R7)))</formula>
    </cfRule>
  </conditionalFormatting>
  <conditionalFormatting sqref="D7">
    <cfRule type="expression" priority="17" dxfId="11" stopIfTrue="1">
      <formula>D7&gt;0</formula>
    </cfRule>
  </conditionalFormatting>
  <conditionalFormatting sqref="E31">
    <cfRule type="expression" priority="18" dxfId="1" stopIfTrue="1">
      <formula>OR(AND(D31&gt;0,E31=0),AND(D31=0,E31&gt;$H$56,$H$56&gt;0))</formula>
    </cfRule>
    <cfRule type="expression" priority="19" dxfId="1" stopIfTrue="1">
      <formula>OR(E31&gt;E30,AND(E31=0,SUM(E31:$E$31)&gt;0))</formula>
    </cfRule>
    <cfRule type="expression" priority="20" dxfId="12" stopIfTrue="1">
      <formula>OR(AND(D31&gt;0,O31&gt;0,NOT(O31="L")),AND(D31&gt;0,OR(E31=$O$13,E31=$O$14,E31=$O$15,E31=$O$16,E31=$O$17,E31=$O$18,E31=$O$19,E31=$O$20,E31=$O$21,E31=$O$22,E31=$O$23,E31=$O$24,E31=$O$25,E31=$O$26,E31=$O$27,E31=$O$28,E31=$O$29,E31=$O$30,E31=$O$31)))</formula>
    </cfRule>
  </conditionalFormatting>
  <conditionalFormatting sqref="E12">
    <cfRule type="expression" priority="21" dxfId="1" stopIfTrue="1">
      <formula>OR(AND(D12&gt;0,E12=0),AND(D12=0,E12&gt;$H$56,$H$56&gt;0))</formula>
    </cfRule>
    <cfRule type="expression" priority="22" dxfId="1" stopIfTrue="1">
      <formula>E12&lt;MAX($E$13:$E$31)</formula>
    </cfRule>
    <cfRule type="expression" priority="23" dxfId="12" stopIfTrue="1">
      <formula>IF($Q$6&gt;0,AND(D12&gt;0,OR(E12=$O$13,E12=$O$14,E12=$O$15,E12=$O$16,E12=$O$17,E12=$O$18,E12=$O$19,E12=$O$20,E12=$O$21,E12=$O$22,E12=$O$23,E12=$O$24,E12=$O$25,E12=$O$26,E12=$O$27,E12=$O$28,E12=$O$29,E12=$O$30,E12=$O$31)))</formula>
    </cfRule>
  </conditionalFormatting>
  <conditionalFormatting sqref="E13:E30">
    <cfRule type="expression" priority="24" dxfId="1" stopIfTrue="1">
      <formula>OR(AND(D13&gt;0,E13=0),AND(D13=0,E13&gt;$H$56,$H$56&gt;0))</formula>
    </cfRule>
    <cfRule type="expression" priority="25" dxfId="1" stopIfTrue="1">
      <formula>OR(AND(E13=0,SUM(E13:$E$31)&gt;0),E13&lt;MAX(E14:$E$31))</formula>
    </cfRule>
    <cfRule type="expression" priority="26" dxfId="12" stopIfTrue="1">
      <formula>OR(AND(D13&gt;0,O13&gt;0,NOT(O13="L")),AND(D13&gt;0,OR(E13=$O$13,E13=$O$14,E13=$O$15,E13=$O$16,E13=$O$17,E13=$O$18,E13=$O$19,E13=$O$20,E13=$O$21,E13=$O$22,E13=$O$23,E13=$O$24,E13=$O$25,E13=$O$26,E13=$O$27,E13=$O$28,E13=$O$29,E13=$O$30,E13=$O$31)))</formula>
    </cfRule>
  </conditionalFormatting>
  <printOptions/>
  <pageMargins left="0.4" right="0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tabColor indexed="15"/>
  </sheetPr>
  <dimension ref="A1:CR83"/>
  <sheetViews>
    <sheetView workbookViewId="0" topLeftCell="A6">
      <selection activeCell="R13" sqref="R13:S13"/>
    </sheetView>
  </sheetViews>
  <sheetFormatPr defaultColWidth="9.140625" defaultRowHeight="12.75"/>
  <cols>
    <col min="1" max="1" width="3.28125" style="35" customWidth="1"/>
    <col min="2" max="2" width="1.1484375" style="35" customWidth="1"/>
    <col min="3" max="3" width="3.57421875" style="35" customWidth="1"/>
    <col min="4" max="4" width="2.421875" style="35" customWidth="1"/>
    <col min="5" max="5" width="3.00390625" style="35" customWidth="1"/>
    <col min="6" max="6" width="7.57421875" style="35" customWidth="1"/>
    <col min="7" max="7" width="13.7109375" style="35" customWidth="1"/>
    <col min="8" max="8" width="6.7109375" style="35" hidden="1" customWidth="1"/>
    <col min="9" max="9" width="10.57421875" style="35" customWidth="1"/>
    <col min="10" max="10" width="4.7109375" style="35" customWidth="1"/>
    <col min="11" max="11" width="5.7109375" style="35" customWidth="1"/>
    <col min="12" max="12" width="2.421875" style="35" customWidth="1"/>
    <col min="13" max="13" width="6.421875" style="35" customWidth="1"/>
    <col min="14" max="14" width="4.7109375" style="35" customWidth="1"/>
    <col min="15" max="15" width="4.00390625" style="35" customWidth="1"/>
    <col min="16" max="16" width="2.57421875" style="35" customWidth="1"/>
    <col min="17" max="17" width="7.28125" style="35" customWidth="1"/>
    <col min="18" max="18" width="5.7109375" style="35" customWidth="1"/>
    <col min="19" max="19" width="5.28125" style="35" customWidth="1"/>
    <col min="20" max="20" width="4.421875" style="444" customWidth="1"/>
    <col min="21" max="21" width="5.421875" style="444" customWidth="1"/>
    <col min="22" max="22" width="4.00390625" style="39" hidden="1" customWidth="1"/>
    <col min="23" max="23" width="3.28125" style="444" hidden="1" customWidth="1"/>
    <col min="24" max="24" width="6.7109375" style="39" hidden="1" customWidth="1"/>
    <col min="25" max="25" width="10.7109375" style="39" hidden="1" customWidth="1"/>
    <col min="26" max="26" width="8.421875" style="39" hidden="1" customWidth="1"/>
    <col min="27" max="27" width="8.421875" style="29" hidden="1" customWidth="1"/>
    <col min="28" max="29" width="8.421875" style="39" hidden="1" customWidth="1"/>
    <col min="30" max="30" width="10.140625" style="39" hidden="1" customWidth="1"/>
    <col min="31" max="33" width="10.140625" style="35" hidden="1" customWidth="1"/>
    <col min="34" max="36" width="9.28125" style="35" hidden="1" customWidth="1"/>
    <col min="37" max="37" width="6.7109375" style="35" hidden="1" customWidth="1"/>
    <col min="38" max="38" width="8.140625" style="35" hidden="1" customWidth="1"/>
    <col min="39" max="39" width="8.28125" style="35" hidden="1" customWidth="1"/>
    <col min="40" max="41" width="9.28125" style="35" hidden="1" customWidth="1"/>
    <col min="42" max="42" width="7.421875" style="35" hidden="1" customWidth="1"/>
    <col min="43" max="44" width="9.28125" style="35" hidden="1" customWidth="1"/>
    <col min="45" max="45" width="5.57421875" style="35" hidden="1" customWidth="1"/>
    <col min="46" max="46" width="3.00390625" style="35" hidden="1" customWidth="1"/>
    <col min="47" max="47" width="5.57421875" style="35" hidden="1" customWidth="1"/>
    <col min="48" max="48" width="6.28125" style="35" hidden="1" customWidth="1"/>
    <col min="49" max="49" width="5.00390625" style="35" hidden="1" customWidth="1"/>
    <col min="50" max="50" width="6.8515625" style="35" hidden="1" customWidth="1"/>
    <col min="51" max="51" width="8.7109375" style="0" hidden="1" customWidth="1"/>
    <col min="52" max="52" width="5.28125" style="0" hidden="1" customWidth="1"/>
    <col min="53" max="53" width="5.28125" style="35" hidden="1" customWidth="1"/>
    <col min="54" max="55" width="6.28125" style="35" hidden="1" customWidth="1"/>
    <col min="56" max="56" width="7.00390625" style="35" hidden="1" customWidth="1"/>
    <col min="57" max="58" width="9.7109375" style="271" hidden="1" customWidth="1"/>
    <col min="59" max="59" width="3.421875" style="0" hidden="1" customWidth="1"/>
    <col min="60" max="60" width="4.140625" style="0" hidden="1" customWidth="1"/>
    <col min="61" max="61" width="3.57421875" style="582" hidden="1" customWidth="1"/>
    <col min="62" max="62" width="4.140625" style="0" hidden="1" customWidth="1"/>
    <col min="63" max="63" width="9.7109375" style="0" hidden="1" customWidth="1"/>
    <col min="64" max="64" width="10.421875" style="35" hidden="1" customWidth="1"/>
    <col min="65" max="65" width="10.28125" style="35" hidden="1" customWidth="1"/>
    <col min="66" max="66" width="8.421875" style="0" hidden="1" customWidth="1"/>
    <col min="67" max="69" width="4.140625" style="0" hidden="1" customWidth="1"/>
    <col min="70" max="70" width="7.28125" style="508" hidden="1" customWidth="1"/>
    <col min="71" max="71" width="8.421875" style="508" hidden="1" customWidth="1"/>
    <col min="72" max="72" width="7.28125" style="508" customWidth="1"/>
    <col min="73" max="73" width="5.8515625" style="510" customWidth="1"/>
    <col min="74" max="74" width="2.57421875" style="510" customWidth="1"/>
    <col min="75" max="75" width="6.7109375" style="513" customWidth="1"/>
    <col min="76" max="76" width="10.28125" style="513" customWidth="1"/>
    <col min="77" max="77" width="10.57421875" style="515" customWidth="1"/>
    <col min="78" max="78" width="8.7109375" style="594" customWidth="1"/>
    <col min="79" max="79" width="0.13671875" style="0" customWidth="1"/>
    <col min="80" max="83" width="6.57421875" style="35" customWidth="1"/>
    <col min="84" max="84" width="6.57421875" style="36" customWidth="1"/>
    <col min="85" max="85" width="6.7109375" style="35" customWidth="1"/>
    <col min="86" max="86" width="6.421875" style="35" customWidth="1"/>
    <col min="87" max="88" width="6.7109375" style="35" customWidth="1"/>
    <col min="89" max="89" width="6.140625" style="35" customWidth="1"/>
    <col min="90" max="90" width="6.140625" style="601" customWidth="1"/>
    <col min="91" max="91" width="6.140625" style="504" customWidth="1"/>
    <col min="92" max="92" width="6.140625" style="271" customWidth="1"/>
    <col min="93" max="93" width="9.421875" style="603" hidden="1" customWidth="1"/>
    <col min="94" max="94" width="8.8515625" style="603" hidden="1" customWidth="1"/>
    <col min="95" max="96" width="8.8515625" style="35" hidden="1" customWidth="1"/>
    <col min="97" max="101" width="8.8515625" style="35" customWidth="1"/>
  </cols>
  <sheetData>
    <row r="1" spans="1:31" ht="29.25" customHeight="1" hidden="1">
      <c r="A1" s="29"/>
      <c r="B1" s="30"/>
      <c r="C1" s="30"/>
      <c r="D1" s="31"/>
      <c r="E1" s="32"/>
      <c r="F1" s="33"/>
      <c r="G1" s="29"/>
      <c r="H1" s="29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505"/>
      <c r="U1" s="505"/>
      <c r="V1" s="163"/>
      <c r="W1" s="505"/>
      <c r="X1" s="163"/>
      <c r="Y1" s="163"/>
      <c r="AE1" s="35" t="s">
        <v>7</v>
      </c>
    </row>
    <row r="2" spans="1:32" ht="29.25" customHeight="1" hidden="1">
      <c r="A2" s="29"/>
      <c r="B2" s="30"/>
      <c r="C2" s="29"/>
      <c r="D2" s="29"/>
      <c r="E2" s="29"/>
      <c r="F2" s="29"/>
      <c r="G2" s="29"/>
      <c r="H2" s="29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505"/>
      <c r="U2" s="505"/>
      <c r="V2" s="163"/>
      <c r="W2" s="505"/>
      <c r="X2" s="163"/>
      <c r="Y2" s="163"/>
      <c r="AB2" s="163"/>
      <c r="AC2" s="163"/>
      <c r="AD2" s="163"/>
      <c r="AE2" s="1083">
        <f>IF(S7,J9+(SUM(P31:P46)),J9)</f>
        <v>0</v>
      </c>
      <c r="AF2" s="1083"/>
    </row>
    <row r="3" spans="1:32" ht="29.25" customHeight="1" hidden="1">
      <c r="A3" s="29"/>
      <c r="B3" s="30"/>
      <c r="C3" s="30"/>
      <c r="D3" s="30"/>
      <c r="E3" s="29"/>
      <c r="F3" s="33"/>
      <c r="G3" s="29"/>
      <c r="H3" s="29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505"/>
      <c r="U3" s="505"/>
      <c r="V3" s="163"/>
      <c r="W3" s="505"/>
      <c r="X3" s="163"/>
      <c r="Y3" s="163"/>
      <c r="AB3" s="163"/>
      <c r="AC3" s="163"/>
      <c r="AD3" s="163"/>
      <c r="AE3" s="35" t="str">
        <f>IF(AND(C7,R11=0),"Total Cubic Feet Sold",IF(AND(C7,R11&gt;0),"Total Cubic Feet Metered",IF(AND(C7=FALSE,R11=0),"Total Gallons Sold",IF(AND(C7=FALSE,R11&gt;0),"Total Gallons Metered"))))</f>
        <v>Total Gallons Sold</v>
      </c>
      <c r="AF3" s="36"/>
    </row>
    <row r="4" spans="1:44" ht="29.25" customHeight="1" hidden="1">
      <c r="A4" s="29"/>
      <c r="B4" s="30"/>
      <c r="C4" s="29"/>
      <c r="D4" s="29"/>
      <c r="E4" s="29"/>
      <c r="F4" s="29"/>
      <c r="G4" s="29"/>
      <c r="H4" s="29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505"/>
      <c r="U4" s="505"/>
      <c r="V4" s="163"/>
      <c r="W4" s="505"/>
      <c r="X4" s="163"/>
      <c r="Y4" s="163"/>
      <c r="AB4" s="162"/>
      <c r="AC4" s="162"/>
      <c r="AD4" s="163"/>
      <c r="AE4" s="37" t="str">
        <f>+IF(C7,"Total Cubic Feet Sold","Total Gallons Sold")</f>
        <v>Total Gallons Sold</v>
      </c>
      <c r="AF4" s="36"/>
      <c r="AQ4" s="35" t="s">
        <v>8</v>
      </c>
      <c r="AR4" s="35" t="s">
        <v>9</v>
      </c>
    </row>
    <row r="5" spans="1:40" ht="29.25" customHeight="1" hidden="1" thickBot="1">
      <c r="A5" s="994"/>
      <c r="B5" s="994"/>
      <c r="C5" s="994"/>
      <c r="D5" s="994"/>
      <c r="E5" s="994"/>
      <c r="F5" s="994"/>
      <c r="G5" s="994"/>
      <c r="H5" s="994"/>
      <c r="I5" s="994"/>
      <c r="J5" s="994"/>
      <c r="K5" s="994"/>
      <c r="L5" s="994"/>
      <c r="M5" s="994"/>
      <c r="N5" s="994"/>
      <c r="O5" s="994"/>
      <c r="P5" s="994"/>
      <c r="Q5" s="994"/>
      <c r="R5" s="994"/>
      <c r="S5" s="994"/>
      <c r="T5" s="994"/>
      <c r="U5" s="994"/>
      <c r="V5" s="994"/>
      <c r="W5" s="994"/>
      <c r="X5" s="994"/>
      <c r="Y5" s="994"/>
      <c r="AB5" s="29"/>
      <c r="AC5" s="29"/>
      <c r="AD5" s="29"/>
      <c r="AE5" s="29"/>
      <c r="AF5" s="29"/>
      <c r="AG5" s="29"/>
      <c r="AH5" s="38"/>
      <c r="AI5" s="38"/>
      <c r="AJ5" s="38"/>
      <c r="AK5" s="39"/>
      <c r="AL5" s="39"/>
      <c r="AM5" s="38"/>
      <c r="AN5" s="39"/>
    </row>
    <row r="6" spans="1:77" ht="17.25" customHeight="1" thickBot="1" thickTop="1">
      <c r="A6" s="994"/>
      <c r="B6" s="1047"/>
      <c r="C6" s="164" t="b">
        <v>0</v>
      </c>
      <c r="D6" s="1088" t="s">
        <v>59</v>
      </c>
      <c r="E6" s="1088"/>
      <c r="F6" s="1088"/>
      <c r="G6" s="1114" t="s">
        <v>183</v>
      </c>
      <c r="H6" s="1115"/>
      <c r="I6" s="1115"/>
      <c r="J6" s="1115"/>
      <c r="K6" s="1115"/>
      <c r="L6" s="1115"/>
      <c r="M6" s="1115"/>
      <c r="N6" s="1115"/>
      <c r="O6" s="1115"/>
      <c r="P6" s="1115"/>
      <c r="Q6" s="1115"/>
      <c r="R6" s="1115"/>
      <c r="S6" s="537" t="s">
        <v>203</v>
      </c>
      <c r="T6" s="174"/>
      <c r="U6" s="174"/>
      <c r="V6" s="165"/>
      <c r="W6" s="174"/>
      <c r="X6" s="165"/>
      <c r="Y6" s="165" t="s">
        <v>58</v>
      </c>
      <c r="AB6" s="165"/>
      <c r="AC6" s="165"/>
      <c r="AE6" s="38"/>
      <c r="AF6" s="40"/>
      <c r="AG6" s="41"/>
      <c r="AH6" s="42"/>
      <c r="AI6" s="42"/>
      <c r="AJ6" s="42" t="s">
        <v>10</v>
      </c>
      <c r="AK6" s="43"/>
      <c r="AL6" s="44"/>
      <c r="AM6" s="42"/>
      <c r="AN6" s="42"/>
      <c r="AO6" s="45"/>
      <c r="AP6" s="45"/>
      <c r="AQ6" s="35">
        <v>109</v>
      </c>
      <c r="AR6" s="35">
        <v>1829899</v>
      </c>
      <c r="AX6"/>
      <c r="BA6"/>
      <c r="BB6"/>
      <c r="BC6"/>
      <c r="BT6"/>
      <c r="BU6" s="1154"/>
      <c r="BV6" s="1154"/>
      <c r="BX6" s="1159">
        <f>IF(AND(R11&gt;0,J18&gt;0),"3d Tier Billed Water",IF(AND(R11&gt;0,J18=0,BX7&gt;0),"Remove entry below",""))</f>
      </c>
      <c r="BY6" s="1160"/>
    </row>
    <row r="7" spans="1:77" ht="14.25" customHeight="1" thickBot="1" thickTop="1">
      <c r="A7" s="1048"/>
      <c r="B7" s="1047"/>
      <c r="C7" s="166" t="b">
        <v>0</v>
      </c>
      <c r="D7" s="1206" t="s">
        <v>153</v>
      </c>
      <c r="E7" s="1207"/>
      <c r="F7" s="1207"/>
      <c r="G7" s="1207"/>
      <c r="H7" s="1208"/>
      <c r="I7" s="1208"/>
      <c r="J7" s="1208"/>
      <c r="K7" s="1208"/>
      <c r="L7" s="1208"/>
      <c r="M7" s="1208"/>
      <c r="N7" s="1208"/>
      <c r="O7" s="1208"/>
      <c r="P7" s="1208"/>
      <c r="Q7" s="1208"/>
      <c r="R7" s="1209"/>
      <c r="S7" s="167" t="b">
        <v>0</v>
      </c>
      <c r="T7" s="174"/>
      <c r="U7" s="174"/>
      <c r="V7" s="165"/>
      <c r="W7" s="174"/>
      <c r="X7" s="165"/>
      <c r="Y7" s="165"/>
      <c r="AB7" s="165"/>
      <c r="AC7" s="165"/>
      <c r="AE7" s="1195" t="s">
        <v>64</v>
      </c>
      <c r="AF7" s="1211" t="s">
        <v>12</v>
      </c>
      <c r="AG7" s="41"/>
      <c r="AH7" s="46" t="s">
        <v>11</v>
      </c>
      <c r="AI7" s="238">
        <f>AJ7</f>
        <v>0</v>
      </c>
      <c r="AJ7" s="47">
        <f>IF(J9&gt;0,CEILING(J9/J8/J10,1),0)</f>
        <v>0</v>
      </c>
      <c r="AK7" s="48"/>
      <c r="AL7" s="274"/>
      <c r="AM7" s="49"/>
      <c r="AN7" s="42"/>
      <c r="AO7" s="239"/>
      <c r="AP7" s="42"/>
      <c r="AQ7" s="39">
        <v>0</v>
      </c>
      <c r="AR7" s="39">
        <v>0</v>
      </c>
      <c r="AS7" s="39"/>
      <c r="AT7" s="39"/>
      <c r="AX7"/>
      <c r="BA7"/>
      <c r="BB7"/>
      <c r="BC7"/>
      <c r="BT7" s="1161" t="s">
        <v>19</v>
      </c>
      <c r="BU7" s="1162"/>
      <c r="BV7" s="1163"/>
      <c r="BX7" s="641"/>
      <c r="BY7" s="640"/>
    </row>
    <row r="8" spans="1:94" ht="15" customHeight="1" thickBot="1" thickTop="1">
      <c r="A8" s="1048"/>
      <c r="B8" s="1047"/>
      <c r="C8" s="1203">
        <f>IF(R13&gt;0,"Residential Connections","")</f>
      </c>
      <c r="D8" s="1079"/>
      <c r="E8" s="1079"/>
      <c r="F8" s="1079"/>
      <c r="G8" s="1079"/>
      <c r="H8" s="1087"/>
      <c r="I8" s="1204"/>
      <c r="J8" s="1175"/>
      <c r="K8" s="1176"/>
      <c r="L8" s="1177"/>
      <c r="M8" s="1086">
        <f>IF(S7,"Total Connections or Units","")</f>
      </c>
      <c r="N8" s="1087"/>
      <c r="O8" s="1087"/>
      <c r="P8" s="1079"/>
      <c r="Q8" s="1080"/>
      <c r="R8" s="1089">
        <f>J8+SUM(AC31:AC46)</f>
        <v>0</v>
      </c>
      <c r="S8" s="1090"/>
      <c r="T8" s="174"/>
      <c r="U8" s="174"/>
      <c r="V8" s="165"/>
      <c r="W8" s="174"/>
      <c r="X8" s="165"/>
      <c r="Y8" s="165"/>
      <c r="AB8" s="165"/>
      <c r="AC8" s="165"/>
      <c r="AD8" s="579" t="s">
        <v>150</v>
      </c>
      <c r="AE8" s="958"/>
      <c r="AF8" s="1212"/>
      <c r="AG8" s="41"/>
      <c r="AH8" s="46" t="s">
        <v>13</v>
      </c>
      <c r="AI8" s="46">
        <f>2*AI7</f>
        <v>0</v>
      </c>
      <c r="AJ8" s="50"/>
      <c r="AK8" s="44"/>
      <c r="AL8" s="50" t="b">
        <f>IF(AND(S7,R11&gt;0,J22&gt;0,R9&gt;(R8*J10*J22)),R9-R22-((R8*J22*J10)-R22))</f>
        <v>0</v>
      </c>
      <c r="AM8" s="50"/>
      <c r="AN8" s="42"/>
      <c r="AO8" s="42"/>
      <c r="AP8" s="42"/>
      <c r="AQ8" s="39">
        <v>0</v>
      </c>
      <c r="AR8" s="39">
        <v>0</v>
      </c>
      <c r="AS8" s="39"/>
      <c r="AT8" s="366"/>
      <c r="AX8"/>
      <c r="BA8"/>
      <c r="BB8"/>
      <c r="BC8"/>
      <c r="BT8" s="1164"/>
      <c r="BU8" s="1162"/>
      <c r="BV8" s="1163"/>
      <c r="CD8" s="39"/>
      <c r="CE8" s="39"/>
      <c r="CF8" s="38"/>
      <c r="CG8" s="39"/>
      <c r="CH8" s="39"/>
      <c r="CI8" s="604"/>
      <c r="CN8" s="39"/>
      <c r="CO8" s="605"/>
      <c r="CP8" s="39"/>
    </row>
    <row r="9" spans="1:94" ht="14.25" customHeight="1" thickBot="1" thickTop="1">
      <c r="A9" s="1048"/>
      <c r="B9" s="1047"/>
      <c r="C9" s="1122">
        <f>IF(AND(C7,J8&gt;0),"Residential Cubic Feet Used",IF(J8&gt;0,"Residential Gallons Used",""))</f>
      </c>
      <c r="D9" s="1178"/>
      <c r="E9" s="1178"/>
      <c r="F9" s="1178"/>
      <c r="G9" s="1178"/>
      <c r="H9" s="1178"/>
      <c r="I9" s="1179"/>
      <c r="J9" s="1020"/>
      <c r="K9" s="1063"/>
      <c r="L9" s="1021"/>
      <c r="M9" s="1205">
        <f>IF(AND(C6,C7,J9&gt;0),"Total Annual WW Cubic Feet",IF(AND(C6,J9&gt;0),"Total Annual WW Gallons",IF(AND(S7,J24&gt;0),AE3,"")))</f>
      </c>
      <c r="N9" s="1144"/>
      <c r="O9" s="1144"/>
      <c r="P9" s="1144"/>
      <c r="Q9" s="1145"/>
      <c r="R9" s="1084">
        <f>IF(AND(C6,J9&gt;0,J10&gt;0),J9*(12/J10)+SUM(P31:P46),IF(AND(S7,J24&gt;0),J9+SUM(AD31:AD46),""))</f>
      </c>
      <c r="S9" s="1085"/>
      <c r="T9" s="174"/>
      <c r="U9" s="174"/>
      <c r="V9" s="165"/>
      <c r="W9" s="174"/>
      <c r="X9" s="165"/>
      <c r="Y9" s="165"/>
      <c r="AB9" s="165"/>
      <c r="AC9" s="278"/>
      <c r="AD9" s="165"/>
      <c r="AE9" s="39">
        <f>IF(AND(C6,J24&gt;0,J10&gt;0),J9*(12/J10)+SUM(P31:P46),IF(AND(S7,J24&gt;0),J9+SUM(AD31:AD46),J9))</f>
        <v>0</v>
      </c>
      <c r="AF9" s="163"/>
      <c r="AG9" s="43">
        <f>AJ9-SUM(AE31:AE46)</f>
        <v>0</v>
      </c>
      <c r="AH9" s="42" t="s">
        <v>14</v>
      </c>
      <c r="AI9" s="42"/>
      <c r="AJ9" s="51">
        <f>+IF(AND(S7,J8),R8,J8)</f>
        <v>0</v>
      </c>
      <c r="AK9" s="42" t="b">
        <f>IF(AND(BT14="Different Svc Charge?",BT12&lt;=R11,BT16&gt;0,BT16),AL34)</f>
        <v>0</v>
      </c>
      <c r="AL9" s="44"/>
      <c r="AM9" s="42"/>
      <c r="AN9" s="42"/>
      <c r="AO9" s="42"/>
      <c r="AP9" s="42"/>
      <c r="AQ9" s="39">
        <v>0</v>
      </c>
      <c r="AR9" s="39">
        <v>0</v>
      </c>
      <c r="AS9" s="39"/>
      <c r="AT9" s="39"/>
      <c r="AX9"/>
      <c r="BA9"/>
      <c r="BB9"/>
      <c r="BC9"/>
      <c r="BT9" s="1165" t="s">
        <v>136</v>
      </c>
      <c r="BU9" s="1166"/>
      <c r="BV9" s="1163"/>
      <c r="BW9" s="1155">
        <f>IF(AND(BT12&gt;0,BT10=0),"You MUST enter months in billing period!",IF(AND(BT10&gt;0,BT12=0,C6),"Enter wastewater use for period",IF(AND(BT10&gt;0,BT12=0,C6=FALSE),"Enter water use for period",IF(AND(BT10&gt;0,BT12&gt;0,BT19=0),"Enter service charge if different from residential",IF(BT19&gt;0,"Check Different Svc Charge for accuracy!","")))))</f>
      </c>
      <c r="BX9" s="1156"/>
      <c r="CD9" s="604"/>
      <c r="CE9" s="604"/>
      <c r="CF9" s="606"/>
      <c r="CG9" s="604"/>
      <c r="CH9" s="604"/>
      <c r="CI9" s="604"/>
      <c r="CN9" s="39"/>
      <c r="CO9" s="605"/>
      <c r="CP9" s="39"/>
    </row>
    <row r="10" spans="1:94" ht="14.25" customHeight="1" thickTop="1">
      <c r="A10" s="1048"/>
      <c r="B10" s="1047"/>
      <c r="C10" s="1191">
        <f>IF(CO10&gt;0,CO10,IF(CO11&gt;0,CO11,""))</f>
      </c>
      <c r="D10" s="1192"/>
      <c r="E10" s="1192"/>
      <c r="F10" s="1192"/>
      <c r="G10" s="1192"/>
      <c r="H10" s="1192"/>
      <c r="I10" s="1193"/>
      <c r="J10" s="1119"/>
      <c r="K10" s="1120"/>
      <c r="L10" s="1121"/>
      <c r="M10" s="1202">
        <f>IF(R11&gt;0,AE4,"")</f>
      </c>
      <c r="N10" s="1065"/>
      <c r="O10" s="1065"/>
      <c r="P10" s="1065"/>
      <c r="Q10" s="1066"/>
      <c r="R10" s="1084">
        <f>IF(AND(R11&gt;0,J24&gt;0),SUM(AE22+AE19+BX7),"")</f>
      </c>
      <c r="S10" s="1085"/>
      <c r="T10" s="174"/>
      <c r="U10" s="174"/>
      <c r="V10" s="165"/>
      <c r="W10" s="174"/>
      <c r="X10" s="165"/>
      <c r="Y10" s="165"/>
      <c r="AB10" s="165"/>
      <c r="AC10" s="278"/>
      <c r="AE10" s="275">
        <f>IF(AND(J22&gt;J11,J23&gt;0),(J23+J20),AE9-AG22)</f>
        <v>0</v>
      </c>
      <c r="AF10" s="274"/>
      <c r="AG10" s="43"/>
      <c r="AH10" s="46" t="s">
        <v>15</v>
      </c>
      <c r="AI10" s="46"/>
      <c r="AJ10" s="52">
        <f>IF(AND(J22&gt;J11,J23&gt;0),(J23+J20),AE9-AG22)</f>
        <v>0</v>
      </c>
      <c r="AK10" s="42"/>
      <c r="AL10" s="50"/>
      <c r="AM10" s="42"/>
      <c r="AN10" s="42"/>
      <c r="AO10" s="42"/>
      <c r="AP10" s="42"/>
      <c r="AQ10" s="39">
        <v>0</v>
      </c>
      <c r="AR10" s="39">
        <v>0</v>
      </c>
      <c r="AS10" s="39"/>
      <c r="AT10" s="39"/>
      <c r="AW10"/>
      <c r="AX10"/>
      <c r="BA10" s="150"/>
      <c r="BT10" s="587"/>
      <c r="BU10" s="1167" t="str">
        <f>IF(BT10=1,"Month","Months")</f>
        <v>Months</v>
      </c>
      <c r="BV10" s="1168"/>
      <c r="BW10" s="1155"/>
      <c r="BX10" s="1156"/>
      <c r="BY10"/>
      <c r="CE10" s="604"/>
      <c r="CF10" s="606"/>
      <c r="CG10" s="604"/>
      <c r="CH10" s="604"/>
      <c r="CI10" s="602"/>
      <c r="CJ10" s="474"/>
      <c r="CN10" s="39"/>
      <c r="CO10" s="605">
        <f>IF(AND(J8&gt;0,J9=0),"No entry above: Months used to calculate Flat Rate",0)</f>
        <v>0</v>
      </c>
      <c r="CP10" s="39"/>
    </row>
    <row r="11" spans="1:94" ht="13.5" customHeight="1" thickBot="1">
      <c r="A11" s="1048"/>
      <c r="B11" s="1047"/>
      <c r="C11" s="1188">
        <f>IF(AND(C7,J9&gt;0,J10&gt;0),"Monthly ERU Cubic Feet",IF(AND(J9&gt;0,J10&gt;0),"Monthly ERU Gallons",""))</f>
      </c>
      <c r="D11" s="1189"/>
      <c r="E11" s="1189"/>
      <c r="F11" s="1189"/>
      <c r="G11" s="1189"/>
      <c r="H11" s="1189"/>
      <c r="I11" s="1190"/>
      <c r="J11" s="1201">
        <f>IF(AND(J8&gt;0,J9&gt;0,J10&gt;0),AJ7,"")</f>
      </c>
      <c r="K11" s="1117"/>
      <c r="L11" s="1118"/>
      <c r="M11" s="1123">
        <f>IF(AND(C7,J9&gt;0,J10&gt;0),"Included Water (Ft³)",IF(AND(J9&gt;0,J10&gt;0),"Included Water (gals)",""))</f>
      </c>
      <c r="N11" s="1117"/>
      <c r="O11" s="1117"/>
      <c r="P11" s="1117"/>
      <c r="Q11" s="1118"/>
      <c r="R11" s="1199"/>
      <c r="S11" s="1200"/>
      <c r="T11" s="174"/>
      <c r="U11" s="174"/>
      <c r="V11" s="165"/>
      <c r="W11" s="174"/>
      <c r="X11" s="165"/>
      <c r="Y11" s="165"/>
      <c r="AA11" s="168"/>
      <c r="AB11" s="165"/>
      <c r="AC11" s="165"/>
      <c r="AD11" s="322"/>
      <c r="AE11" s="43"/>
      <c r="AF11" s="35" t="b">
        <f>IF(AND(C7,R11&gt;0,AND(J22&gt;0,(J23+J20)&lt;(AE9-(AG9*12*R11)))),"With the included water entered, the total water billed cannot be less than "&amp;TEXT((AE9-(AG9*12*R11)),0)&amp;" cubic feet!")</f>
        <v>0</v>
      </c>
      <c r="AG11" s="39"/>
      <c r="AH11" s="39"/>
      <c r="AI11" s="43"/>
      <c r="AJ11" s="42">
        <f>IF(AND(R11&gt;0,J22&gt;0,J22&lt;J11,J23&gt;0),AE9-((AG9*J10*R11)-AG22),IF(AND(J22&gt;J11,J23&gt;0),(J23+J20),AE9-AG22))</f>
        <v>0</v>
      </c>
      <c r="AK11" s="43"/>
      <c r="AL11" s="42"/>
      <c r="AM11" s="42"/>
      <c r="AN11" s="42"/>
      <c r="AO11" s="42"/>
      <c r="AP11" s="42"/>
      <c r="AQ11" s="39">
        <v>0</v>
      </c>
      <c r="AR11" s="39">
        <v>0</v>
      </c>
      <c r="AS11" s="39"/>
      <c r="AT11" s="39"/>
      <c r="AW11"/>
      <c r="AX11"/>
      <c r="BT11" s="1169" t="str">
        <f>IF(C7,"Cubic Ft Used","Gallons Used")</f>
        <v>Gallons Used</v>
      </c>
      <c r="BU11" s="1170"/>
      <c r="BV11" s="1171"/>
      <c r="BW11" s="1155"/>
      <c r="BX11" s="1156"/>
      <c r="CB11" s="518"/>
      <c r="CE11" s="604"/>
      <c r="CF11" s="607"/>
      <c r="CG11" s="604"/>
      <c r="CH11" s="604"/>
      <c r="CJ11" s="474"/>
      <c r="CN11" s="39"/>
      <c r="CO11" s="516">
        <f>IF(AND(J8&gt;0,J9&gt;0),"Months used to calculate ERU",0)</f>
        <v>0</v>
      </c>
      <c r="CP11" s="39"/>
    </row>
    <row r="12" spans="1:94" ht="15" customHeight="1" thickBot="1" thickTop="1">
      <c r="A12" s="1048"/>
      <c r="B12" s="1047"/>
      <c r="C12" s="1196" t="s">
        <v>139</v>
      </c>
      <c r="D12" s="1197"/>
      <c r="E12" s="1197"/>
      <c r="F12" s="1197"/>
      <c r="G12" s="1197"/>
      <c r="H12" s="1197"/>
      <c r="I12" s="1197"/>
      <c r="J12" s="1197"/>
      <c r="K12" s="1197"/>
      <c r="L12" s="1197"/>
      <c r="M12" s="1197"/>
      <c r="N12" s="1197"/>
      <c r="O12" s="1197"/>
      <c r="P12" s="1197"/>
      <c r="Q12" s="1197"/>
      <c r="R12" s="1197"/>
      <c r="S12" s="1198"/>
      <c r="T12" s="174"/>
      <c r="U12" s="174"/>
      <c r="V12" s="165"/>
      <c r="W12" s="174"/>
      <c r="X12" s="165"/>
      <c r="Y12" s="165"/>
      <c r="AA12" s="168"/>
      <c r="AB12" s="165"/>
      <c r="AC12" s="165"/>
      <c r="AE12" s="38" t="b">
        <f>IF(AND(C6,J24&gt;0),FLOOR((J8*J13*12)+((R22/1000)*J24)+(AE19/1000*J21)+BM47,1))</f>
        <v>0</v>
      </c>
      <c r="AF12" s="53"/>
      <c r="AG12" s="39"/>
      <c r="AH12" s="39"/>
      <c r="AI12" s="39"/>
      <c r="AJ12" s="53" t="s">
        <v>16</v>
      </c>
      <c r="AK12" s="55">
        <f>IF(R11&gt;J11,0,SUM(AL12:AP12)-((R11/100)*J24))</f>
        <v>0</v>
      </c>
      <c r="AL12" s="54">
        <f>IF(AND(J22&gt;0,AI7&gt;J22),(J22/100*J24),AI7/100*J24)</f>
        <v>0</v>
      </c>
      <c r="AM12" s="55">
        <f>IF(AND(AI7&gt;J22,J19=0),(AI7-J22)/100*J21,0)</f>
        <v>0</v>
      </c>
      <c r="AN12" s="55">
        <f>IF(AND(AI7&gt;=J19,J19&gt;0,J19&gt;J22),(J19-J22)/100*J21,0)</f>
        <v>0</v>
      </c>
      <c r="AO12" s="55">
        <f>IF(AND(AI7&lt;J19,AI7&gt;J22,J19&gt;0),(AI7-J22)/100*J21,0)</f>
        <v>0</v>
      </c>
      <c r="AP12" s="55">
        <f>IF(AND(AI7&gt;J19,J19&gt;0,J19&gt;J22),(AI7-J19)/100*J18,0)</f>
        <v>0</v>
      </c>
      <c r="AQ12" s="39">
        <v>0</v>
      </c>
      <c r="AR12" s="39">
        <v>0</v>
      </c>
      <c r="AS12" s="39"/>
      <c r="AT12" s="39"/>
      <c r="AW12"/>
      <c r="AX12"/>
      <c r="AZ12" s="57"/>
      <c r="BA12" s="151"/>
      <c r="BT12" s="1220"/>
      <c r="BU12" s="1012"/>
      <c r="BV12" s="1147"/>
      <c r="BW12" s="1157"/>
      <c r="BX12" s="1158"/>
      <c r="CE12" s="39"/>
      <c r="CF12" s="38"/>
      <c r="CG12" s="39"/>
      <c r="CH12" s="39"/>
      <c r="CN12" s="39"/>
      <c r="CO12" s="35"/>
      <c r="CP12" s="39"/>
    </row>
    <row r="13" spans="1:93" ht="18" customHeight="1" thickTop="1">
      <c r="A13" s="1048"/>
      <c r="B13" s="1047"/>
      <c r="C13" s="1187" t="s">
        <v>137</v>
      </c>
      <c r="D13" s="1079"/>
      <c r="E13" s="1079"/>
      <c r="F13" s="1079"/>
      <c r="G13" s="1079"/>
      <c r="H13" s="1079"/>
      <c r="I13" s="1080"/>
      <c r="J13" s="1126"/>
      <c r="K13" s="1127"/>
      <c r="L13" s="1128"/>
      <c r="M13" s="1133" t="s">
        <v>47</v>
      </c>
      <c r="N13" s="1079"/>
      <c r="O13" s="1079"/>
      <c r="P13" s="1079"/>
      <c r="Q13" s="1079"/>
      <c r="R13" s="1124"/>
      <c r="S13" s="1125"/>
      <c r="T13" s="174"/>
      <c r="U13" s="174"/>
      <c r="V13" s="165"/>
      <c r="W13" s="174"/>
      <c r="X13" s="165"/>
      <c r="Y13" s="165"/>
      <c r="AA13" s="169"/>
      <c r="AB13" s="165"/>
      <c r="AD13" s="497"/>
      <c r="AE13" s="8"/>
      <c r="AF13" s="53"/>
      <c r="AG13" s="42" t="s">
        <v>17</v>
      </c>
      <c r="AH13" s="39"/>
      <c r="AI13" s="53"/>
      <c r="AJ13" s="53" t="s">
        <v>18</v>
      </c>
      <c r="AK13" s="55">
        <f>IF(R11&gt;J11,0,(SUM(AL13:AP13)-((R11/1000)*J24)))</f>
        <v>0</v>
      </c>
      <c r="AL13" s="55">
        <f>IF(AND(J22&gt;0,AI7&gt;J22),(J22/1000*J24),AI7/1000*J24)</f>
        <v>0</v>
      </c>
      <c r="AM13" s="55">
        <f>IF(AND(AI7&gt;J22,J19=0),(AI7-J22)/1000*J21,0)</f>
        <v>0</v>
      </c>
      <c r="AN13" s="55">
        <f>IF(AND(AI7&gt;=J19,J19&gt;0,J19&gt;J22),(J19-J22)/1000*J21,0)</f>
        <v>0</v>
      </c>
      <c r="AO13" s="55">
        <f>IF(AND(AI7&lt;J19,AI7&gt;J22,J19&gt;0),(AI7-J22)/1000*J21,0)</f>
        <v>0</v>
      </c>
      <c r="AP13" s="55">
        <f>IF(AND(AI7&gt;J19,J19&gt;0,J19&gt;J22),(AI7-J19)/1000*J18,0)</f>
        <v>0</v>
      </c>
      <c r="AQ13" s="39">
        <v>0</v>
      </c>
      <c r="AR13" s="39">
        <v>0</v>
      </c>
      <c r="AS13" s="39"/>
      <c r="AT13" s="39"/>
      <c r="AW13" s="153"/>
      <c r="AX13" s="156"/>
      <c r="AZ13" s="58"/>
      <c r="BA13" s="152"/>
      <c r="BR13" s="509"/>
      <c r="BT13" s="1214">
        <f>IF(R11*BT10&gt;BT12,0,IF(AND(C7=FALSE,BT10&gt;1,BT12&gt;0),AK29,IF(AND(C7,BT10&gt;1,BT12&gt;0),AK28,IF(AND(C7=FALSE,BT12&gt;0),AK29,IF(AND(C7,BT12&gt;0),AK28,"")))))</f>
      </c>
      <c r="BU13" s="1215"/>
      <c r="BV13" s="1216"/>
      <c r="BX13" s="648"/>
      <c r="CN13" s="39"/>
      <c r="CO13" s="35"/>
    </row>
    <row r="14" spans="1:93" ht="14.25" customHeight="1" thickBot="1">
      <c r="A14" s="1048"/>
      <c r="B14" s="1047"/>
      <c r="C14" s="1122">
        <f>IF(AND(C6,J13&gt;0),"ERU Wastewater Cost",IF(J13&gt;0,"ERU Water Cost",""))</f>
      </c>
      <c r="D14" s="1065"/>
      <c r="E14" s="1065"/>
      <c r="F14" s="1065"/>
      <c r="G14" s="1065"/>
      <c r="H14" s="1065"/>
      <c r="I14" s="1066"/>
      <c r="J14" s="1180">
        <f>IF(AND(C7,J13&gt;0),AK12,IF(J13&gt;0,AK13,""))</f>
      </c>
      <c r="K14" s="1181"/>
      <c r="L14" s="1182"/>
      <c r="M14" s="1091">
        <f>IF(AND($J$10&lt;12,$J$10&gt;0),"REVENUES IN PERIOD",IF(AND(OR(J10=12,J10=0),J13&gt;0),"ANNUAL REVENUES",""))</f>
      </c>
      <c r="N14" s="1065"/>
      <c r="O14" s="1065"/>
      <c r="P14" s="1065"/>
      <c r="Q14" s="1065"/>
      <c r="R14" s="1092">
        <f>IF(AND(C6,J24&gt;0),FLOOR((J8*J13*12)+AE24+BM47,1),IF(AND(J8&gt;0,J10&gt;0,J13&gt;0,J24=0),FLOOR((J8*J10*J13)+AI51*J10,1),IF(J24&gt;0,FLOOR(AI27+AI29,1),IF(AND(J8&gt;0,J10&gt;0,J13&gt;0),FLOOR(J8*J10*J13,1),""))))</f>
      </c>
      <c r="S14" s="1093"/>
      <c r="T14" s="174"/>
      <c r="U14" s="511"/>
      <c r="V14" s="321"/>
      <c r="W14" s="174"/>
      <c r="X14" s="165"/>
      <c r="Y14" s="165"/>
      <c r="Z14"/>
      <c r="AA14" s="169"/>
      <c r="AD14" s="497"/>
      <c r="AE14" s="181">
        <f>IF(AND(J18&gt;J21,J21&gt;0),J18,0)</f>
        <v>0</v>
      </c>
      <c r="AF14" s="60"/>
      <c r="AG14" s="60" t="s">
        <v>20</v>
      </c>
      <c r="AH14" s="39"/>
      <c r="AI14" s="55">
        <f>SUM(AL14:AP14)-AK14</f>
        <v>0</v>
      </c>
      <c r="AJ14" s="60" t="s">
        <v>21</v>
      </c>
      <c r="AK14" s="55">
        <f>R11/100*J24</f>
        <v>0</v>
      </c>
      <c r="AL14" s="55">
        <f>IF(AND(J22&gt;0,AI8&gt;J22),(J22/100*J24),AI8/100*J24)</f>
        <v>0</v>
      </c>
      <c r="AM14" s="55">
        <f>IF(AND(AI8&gt;J22,J19=0),(AI8-J22)/100*J21,0)</f>
        <v>0</v>
      </c>
      <c r="AN14" s="55">
        <f>IF(AND(AI8&gt;J22,J19&gt;0,J18=0),(AI8-J22)/100*J21,IF(AND(AI8&gt;=J19,J19&gt;0,J19&gt;J22),(J19-J22)/100*J21,0))</f>
        <v>0</v>
      </c>
      <c r="AO14" s="55">
        <f>IF(AND(AI8&lt;J19,AI8&gt;J22,J19&gt;0,J18&gt;0),(AI8-J22)/100*J21,0)</f>
        <v>0</v>
      </c>
      <c r="AP14" s="55">
        <f>IF(AND(AI8&gt;J19,J19&gt;0,J19&gt;J22),(AI8-J19)/100*J18,0)</f>
        <v>0</v>
      </c>
      <c r="AQ14" s="39">
        <v>0</v>
      </c>
      <c r="AR14" s="39">
        <v>0</v>
      </c>
      <c r="AS14" s="39"/>
      <c r="AT14" s="39"/>
      <c r="AW14" s="153"/>
      <c r="AX14" s="156"/>
      <c r="AZ14" s="61"/>
      <c r="BA14" s="152"/>
      <c r="BM14" s="35">
        <f>IF(AND(C6,C7,J24&gt;0),(AG9*J13*12)+((R22/100)*J24)+(AE19/100*J21)+BM47,IF(AND(C6,J24&gt;0),(AG9*J13*12)+((R22/1000)*J24)+(AE19/1000*J21)+BM47,IF(AND(J8&gt;0,J10&gt;0,J13&gt;0,J24=0),(J8*J10*J13)+AI51*J10,IF(J24&gt;0,FLOOR(AI27+AI29,1),IF(AND(J8&gt;0,J10&gt;0,J13&gt;0),J8*J10*J13,"")))))</f>
      </c>
      <c r="BT14" s="1136" t="str">
        <f>IF(BT10&gt;1,"",IF(J22=0,"Units Assigned",""))</f>
        <v>Units Assigned</v>
      </c>
      <c r="BU14" s="1137"/>
      <c r="BV14" s="1138"/>
      <c r="BX14" s="649"/>
      <c r="CJ14" s="608"/>
      <c r="CK14" s="608"/>
      <c r="CL14" s="609"/>
      <c r="CM14" s="609"/>
      <c r="CN14" s="39"/>
      <c r="CO14" s="366">
        <f>IF(NOT(CO18=""),TEXT(CO18,"0%")&amp;" -- "&amp;TEXT(CO16,"0"),"")</f>
      </c>
    </row>
    <row r="15" spans="1:93" ht="14.25" customHeight="1" thickBot="1" thickTop="1">
      <c r="A15" s="1048"/>
      <c r="B15" s="1047"/>
      <c r="C15" s="1129">
        <f>IF(OR(J13&gt;0,J24&gt;0),"Total Cost for First ERU","")</f>
      </c>
      <c r="D15" s="1065"/>
      <c r="E15" s="1065"/>
      <c r="F15" s="1065"/>
      <c r="G15" s="1065"/>
      <c r="H15" s="1065"/>
      <c r="I15" s="1066"/>
      <c r="J15" s="1183">
        <f>IF(J13&gt;0,J13+J14,IF(AND(C7,J13=0,J24&gt;0),J11/100*J24,IF(AND(J13=0,J24&gt;0),J11/1000*J24,"")))</f>
      </c>
      <c r="K15" s="1181"/>
      <c r="L15" s="1182"/>
      <c r="M15" s="1143">
        <f>IF(AND(J24&gt;0,C6),"Revenue from WW Rate %",IF(J24&gt;0,"Revenue from Water Sales %",""))</f>
      </c>
      <c r="N15" s="1144"/>
      <c r="O15" s="1144"/>
      <c r="P15" s="1144"/>
      <c r="Q15" s="1145"/>
      <c r="R15" s="1148">
        <f>IF(M15="","",IF(AI27&gt;0,AI27/R14,""))</f>
      </c>
      <c r="S15" s="1149"/>
      <c r="T15" s="174"/>
      <c r="U15" s="174"/>
      <c r="V15" s="165"/>
      <c r="W15" s="174"/>
      <c r="X15" s="165"/>
      <c r="Y15" s="165"/>
      <c r="AA15" s="170"/>
      <c r="AB15" s="171"/>
      <c r="AC15" s="171"/>
      <c r="AD15" s="497"/>
      <c r="AE15" s="181">
        <f>IF(AND(J21&gt;J24,J18=0),J21,0)</f>
        <v>0</v>
      </c>
      <c r="AF15" s="60" t="s">
        <v>22</v>
      </c>
      <c r="AG15" s="60" t="s">
        <v>23</v>
      </c>
      <c r="AH15" s="39"/>
      <c r="AI15" s="55">
        <f>SUM(AL15:AP15)-AK15</f>
        <v>0</v>
      </c>
      <c r="AJ15" s="60" t="s">
        <v>21</v>
      </c>
      <c r="AK15" s="55">
        <f>R11/1000*J24</f>
        <v>0</v>
      </c>
      <c r="AL15" s="55">
        <f>IF(AND(J22&gt;0,AI8&gt;J22),(J22/1000*J24),AI8/1000*J24)</f>
        <v>0</v>
      </c>
      <c r="AM15" s="55">
        <f>IF(AND(AI8&gt;J22,J19=0),(AI8-J22)/1000*J21,0)</f>
        <v>0</v>
      </c>
      <c r="AN15" s="55">
        <f>IF(AND(AI8&gt;J22,J19&gt;0,J18=0),(AI8-J22)/1000*J21,IF(AND(AI8&gt;=J19,J19&gt;0,J19&gt;J22),(J19-J22)/1000*J21,0))</f>
        <v>0</v>
      </c>
      <c r="AO15" s="55">
        <f>IF(AND(AI8&lt;J19,AI8&gt;J22,J19&gt;0,J18&gt;0),(AI8-J22)/1000*J21,0)</f>
        <v>0</v>
      </c>
      <c r="AP15" s="55">
        <f>IF(AND(AI8&gt;J19,J19&gt;0,J19&gt;J22),(AI8-J19)/1000*J18,0)</f>
        <v>0</v>
      </c>
      <c r="AQ15" s="39">
        <v>0</v>
      </c>
      <c r="AR15" s="39">
        <v>0</v>
      </c>
      <c r="AS15" s="39"/>
      <c r="AT15" s="39"/>
      <c r="AW15" s="153"/>
      <c r="AX15" s="157"/>
      <c r="AZ15" s="62"/>
      <c r="BA15" s="152"/>
      <c r="BT15" s="1139"/>
      <c r="BU15" s="1137"/>
      <c r="BV15" s="1138"/>
      <c r="CJ15" s="610"/>
      <c r="CK15" s="610"/>
      <c r="CL15" s="609"/>
      <c r="CM15" s="609"/>
      <c r="CN15" s="39"/>
      <c r="CO15" s="35" t="s">
        <v>143</v>
      </c>
    </row>
    <row r="16" spans="1:95" ht="14.25" customHeight="1" thickBot="1" thickTop="1">
      <c r="A16" s="1048"/>
      <c r="B16" s="1047"/>
      <c r="C16" s="1130">
        <f>IF(NOT(J15=""),"2X ERU Cost % and Single ERU RU Factor","")</f>
      </c>
      <c r="D16" s="1131"/>
      <c r="E16" s="1131"/>
      <c r="F16" s="1131"/>
      <c r="G16" s="1131"/>
      <c r="H16" s="1131"/>
      <c r="I16" s="1132"/>
      <c r="J16" s="1184">
        <f>IF(ISERROR(CO14),"",IF(NOT(J15=""),CO14,""))</f>
      </c>
      <c r="K16" s="1185"/>
      <c r="L16" s="1186"/>
      <c r="M16" s="1116">
        <f>IF(J24&gt;0,"Max ERU Cost %","")</f>
      </c>
      <c r="N16" s="1117"/>
      <c r="O16" s="1117"/>
      <c r="P16" s="1117"/>
      <c r="Q16" s="1118"/>
      <c r="R16" s="1103">
        <f>IF(ISERROR(AE16),"",IF(OR(AND(NOT(M16=""),SUM(AE16,AD16)=0),AND(J21&gt;0,J21&lt;J24)),"N/A",IF(AND(C7,R11&gt;J11,J21=0),((J11/100)*J24)/J15,IF(AND(R11&gt;J11,J21=0),((J11/1000)*J24)/J15,IF(AND(C7,J24&gt;0),AE16,IF(J24&gt;0,AD16,""))))))</f>
      </c>
      <c r="S16" s="1150"/>
      <c r="T16" s="174"/>
      <c r="U16" s="588"/>
      <c r="V16" s="165"/>
      <c r="W16" s="174"/>
      <c r="X16" s="165"/>
      <c r="Y16" s="165"/>
      <c r="AA16" s="63"/>
      <c r="AB16" s="172"/>
      <c r="AD16" s="496" t="e">
        <f>IF(AND(R11&gt;0,J21&lt;J24,J22&gt;((J11*2)+R11)),((J11/1000)*J24)/J15,IF(AND(R11&gt;0,J21&lt;J24,J22&lt;((J11*2)+R11)),AI16,IF(AND(J21=0,J16&gt;0),AI16,MAXA(AE14,AE15)*J11/1000/J15)))</f>
        <v>#VALUE!</v>
      </c>
      <c r="AE16" s="240" t="e">
        <f>IF(AND(C7,R11&gt;0,J21&lt;J24,J22&gt;((J11*2)+R11)),((J11/100)*J24)/J15,IF(AND(C7,R11&gt;0,J21&lt;J24,J22&lt;((J11*2)+R11)),AI16,IF(AND(J21=0,J16&gt;0),AI16,MAXA(AE14,AE15)*J11/100/J15)))</f>
        <v>#VALUE!</v>
      </c>
      <c r="AF16" s="43"/>
      <c r="AG16" s="43" t="s">
        <v>24</v>
      </c>
      <c r="AH16" s="43"/>
      <c r="AI16" s="64" t="e">
        <f>IF(C7,((AI14+J13)-J15)/J15,((AI15+J13)-J15)/J15)</f>
        <v>#VALUE!</v>
      </c>
      <c r="AJ16" s="65"/>
      <c r="AK16" s="39"/>
      <c r="AL16" s="44"/>
      <c r="AM16" s="42"/>
      <c r="AN16" s="42"/>
      <c r="AO16" s="42"/>
      <c r="AP16" s="42"/>
      <c r="AQ16" s="39"/>
      <c r="AR16" s="39"/>
      <c r="AS16" s="39"/>
      <c r="AT16" s="39"/>
      <c r="AW16" s="153"/>
      <c r="AX16" s="156"/>
      <c r="AZ16" s="61"/>
      <c r="BA16" s="152"/>
      <c r="BM16" s="35">
        <f>IF(AND(C6,C7,J24&gt;0),(J8*J13*12)+((R22/100)*J24)+(AE19/100*J21)+BM47,IF(AND(C6,J24&gt;0),(J8*J13*12)+((R22/1000)*J24)+(AE19/1000*J21)+BM47,IF(AND(J8&gt;0,J10&gt;0,J13&gt;0,J24=0),(J8*J10*J13)+AI51*J10,IF(J24&gt;0,FLOOR(AI27+AI29,1),IF(AND(J8&gt;0,J10&gt;0,J13&gt;0),J8*J10*J13,"")))))</f>
      </c>
      <c r="BT16" s="1146"/>
      <c r="BU16" s="1012"/>
      <c r="BV16" s="1147"/>
      <c r="BX16" s="1151">
        <f>IF(CO20&gt;0,"(Total annual treatment costs of WWTP) (Percentage of costs assigned to a pollutant) =   Cost / lb of pollutant","")</f>
      </c>
      <c r="BY16" s="1152"/>
      <c r="BZ16" s="1152"/>
      <c r="CA16" s="1152"/>
      <c r="CB16" s="1152"/>
      <c r="CC16" s="1152"/>
      <c r="CD16" s="1152"/>
      <c r="CE16" s="1152"/>
      <c r="CF16" s="1152"/>
      <c r="CG16" s="1152"/>
      <c r="CH16" s="1152"/>
      <c r="CI16" s="1153"/>
      <c r="CJ16" s="1153"/>
      <c r="CK16" s="611"/>
      <c r="CL16" s="609"/>
      <c r="CM16" s="609"/>
      <c r="CN16" s="39"/>
      <c r="CO16" s="469">
        <f>IF(AND(NOT(CO18=""),SUM(P31:P46)=0),100,IF(AND(NOT(R9=""),SUM(P31:P46)=0),100,IF(AND(C6,NOT(R9="")),(((R14-BU47)/R14*100)/(((R9-SUM(P31:P46))/R9)*100)*100),IF(NOT(R9=""),(((R14-BU47)/R14*100)/((J9/R9)*100)*100),""))))</f>
      </c>
      <c r="CQ16" s="35">
        <f>IF(NOT(R9=""),(((R14-BU47)/R14*100)/((J9/R9)*100)*100),"")</f>
      </c>
    </row>
    <row r="17" spans="1:93" ht="14.25" customHeight="1" thickTop="1">
      <c r="A17" s="1046">
        <f>IF(J19&gt;0,3,"")</f>
      </c>
      <c r="B17" s="1047"/>
      <c r="C17" s="1172">
        <f>IF(AND(C7,J19&gt;0),"Cubic Feet Sold in Tier",IF(J19&gt;0,"Gallons Sold in Tier",""))</f>
      </c>
      <c r="D17" s="1173"/>
      <c r="E17" s="1173"/>
      <c r="F17" s="1173"/>
      <c r="G17" s="1173"/>
      <c r="H17" s="1173"/>
      <c r="I17" s="1174"/>
      <c r="J17" s="1034">
        <f>IF(C17="","",IF(AE17=0,"",AE17))</f>
      </c>
      <c r="K17" s="1106"/>
      <c r="L17" s="1107"/>
      <c r="M17" s="1068">
        <f>IF(J19&gt;0,"Percent of Use in Tier","")</f>
      </c>
      <c r="N17" s="1079"/>
      <c r="O17" s="1079"/>
      <c r="P17" s="1079"/>
      <c r="Q17" s="1080"/>
      <c r="R17" s="1134">
        <f>IF(AND(J17&gt;0,NOT(J17="")),J17/AE9,"")</f>
      </c>
      <c r="S17" s="1135"/>
      <c r="T17" s="174"/>
      <c r="U17" s="174"/>
      <c r="V17" s="165"/>
      <c r="W17" s="174"/>
      <c r="X17" s="165"/>
      <c r="Y17" s="278"/>
      <c r="AA17" s="169"/>
      <c r="AB17" s="172"/>
      <c r="AC17" s="277"/>
      <c r="AD17" s="497"/>
      <c r="AE17" s="66">
        <f>AJ17</f>
        <v>0</v>
      </c>
      <c r="AF17" s="66"/>
      <c r="AG17" s="66"/>
      <c r="AH17" s="241" t="s">
        <v>67</v>
      </c>
      <c r="AI17" s="42"/>
      <c r="AJ17" s="242">
        <f>IF(AND(R11&gt;0,BX7&gt;0),BX7,IF(R19="",0,IF(AND(R11=0,AE9&lt;=(R19+R22)),0,IF(AND(R11=0,AE9&gt;(AE19+AE22),J19&gt;0),AE9-(AE19+AE22),0))))</f>
        <v>0</v>
      </c>
      <c r="AK17" s="46"/>
      <c r="AL17" s="69"/>
      <c r="AM17" s="46"/>
      <c r="AN17" s="69"/>
      <c r="AO17" s="241"/>
      <c r="AP17" s="42"/>
      <c r="AQ17" s="39"/>
      <c r="AR17" s="39"/>
      <c r="AS17" s="39"/>
      <c r="AT17" s="39"/>
      <c r="AX17" s="156"/>
      <c r="AZ17" s="58"/>
      <c r="BA17" s="152"/>
      <c r="BT17" s="1136" t="str">
        <f>IF(BT10=1,"Different Svc Charge?","Service Charge")</f>
        <v>Service Charge</v>
      </c>
      <c r="BU17" s="1137"/>
      <c r="BV17" s="1138"/>
      <c r="BX17" s="1217">
        <f>IF(CO20&gt;0,"Total annual specific pollutant lbs","")</f>
      </c>
      <c r="BY17" s="1218"/>
      <c r="BZ17" s="1218"/>
      <c r="CA17" s="1218"/>
      <c r="CB17" s="1218"/>
      <c r="CC17" s="1219"/>
      <c r="CD17" s="1219"/>
      <c r="CE17" s="1219"/>
      <c r="CF17" s="1219"/>
      <c r="CG17" s="612"/>
      <c r="CH17" s="612"/>
      <c r="CI17" s="612"/>
      <c r="CJ17" s="39"/>
      <c r="CK17" s="39"/>
      <c r="CL17" s="35"/>
      <c r="CM17" s="609"/>
      <c r="CN17" s="39"/>
      <c r="CO17" s="609" t="s">
        <v>142</v>
      </c>
    </row>
    <row r="18" spans="1:93" ht="14.25" customHeight="1" thickBot="1">
      <c r="A18" s="1048"/>
      <c r="B18" s="1047"/>
      <c r="C18" s="1056">
        <f>IF(AND(C7,J19&gt;0),"3d Tier Rate/100 Cubic Feet",IF(J19&gt;0,"3d Tier Rate/1000 Gallons",""))</f>
      </c>
      <c r="D18" s="1053"/>
      <c r="E18" s="1053"/>
      <c r="F18" s="1053"/>
      <c r="G18" s="1053"/>
      <c r="H18" s="1053"/>
      <c r="I18" s="1054"/>
      <c r="J18" s="1094"/>
      <c r="K18" s="1095"/>
      <c r="L18" s="1096"/>
      <c r="M18" s="1140">
        <f>IF(J18=0,"","Tier Sales / Total Revenues")</f>
      </c>
      <c r="N18" s="1141"/>
      <c r="O18" s="1141"/>
      <c r="P18" s="1141"/>
      <c r="Q18" s="1142"/>
      <c r="R18" s="1029">
        <f>IF(M18="","",IF(AE18&gt;0,AE18/R14,""))</f>
      </c>
      <c r="S18" s="1111"/>
      <c r="T18" s="174"/>
      <c r="U18" s="174"/>
      <c r="V18" s="165"/>
      <c r="W18" s="174"/>
      <c r="X18" s="165"/>
      <c r="Y18" s="165"/>
      <c r="AA18" s="169"/>
      <c r="AB18" s="160"/>
      <c r="AC18" s="152"/>
      <c r="AE18" s="70">
        <f>AJ18</f>
        <v>0</v>
      </c>
      <c r="AF18" s="70"/>
      <c r="AG18" s="70"/>
      <c r="AH18" s="72" t="str">
        <f>IF(C7,"Calc. Revenues Ft","Calc. Revenues Gals")</f>
        <v>Calc. Revenues Gals</v>
      </c>
      <c r="AI18" s="42"/>
      <c r="AJ18" s="73">
        <f>IF(C7,AJ17/100*J18,AJ17/1000*J18)</f>
        <v>0</v>
      </c>
      <c r="AK18" s="323"/>
      <c r="AL18" s="73"/>
      <c r="AM18" s="74"/>
      <c r="AN18" s="73"/>
      <c r="AO18" s="72"/>
      <c r="AP18" s="42"/>
      <c r="AQ18" s="39"/>
      <c r="AR18" s="39"/>
      <c r="AS18"/>
      <c r="AT18" s="39"/>
      <c r="AW18" s="153"/>
      <c r="AX18" s="153"/>
      <c r="AZ18" s="56"/>
      <c r="BA18" s="153"/>
      <c r="BT18" s="1139"/>
      <c r="BU18" s="1137"/>
      <c r="BV18" s="1138"/>
      <c r="CI18" s="612"/>
      <c r="CJ18" s="39"/>
      <c r="CL18" s="35"/>
      <c r="CO18" s="613">
        <f>IF(AND(J8&gt;0,J9&gt;0,J10&gt;0,J13&gt;0),AI16,IF(AND(J8&gt;0,J10&gt;0,J13&gt;0,J24=0),0,IF(AND(J9&gt;0,J13=0,J24&gt;0),1,"")))</f>
      </c>
    </row>
    <row r="19" spans="1:93" ht="14.25" customHeight="1" thickTop="1">
      <c r="A19" s="1046">
        <f>IF(J22&gt;0,2,"")</f>
      </c>
      <c r="B19" s="1055"/>
      <c r="C19" s="1049">
        <f>IF(AND(NOT(C6),C7,J21&gt;0),"2d Tier Cubic Feet",IF(AND(NOT(C6),J21&gt;0),"2d Tier Gallons",""))</f>
      </c>
      <c r="D19" s="1050"/>
      <c r="E19" s="1050"/>
      <c r="F19" s="1050"/>
      <c r="G19" s="1050"/>
      <c r="H19" s="1050"/>
      <c r="I19" s="1051"/>
      <c r="J19" s="1060"/>
      <c r="K19" s="1112"/>
      <c r="L19" s="1113"/>
      <c r="M19" s="1068">
        <f>IF(AND(C7,J22&gt;0),"Cubic Feet Sold in Tier",IF(J22&gt;0,"Gallons Sold in Tier",""))</f>
      </c>
      <c r="N19" s="1050"/>
      <c r="O19" s="1050"/>
      <c r="P19" s="1050"/>
      <c r="Q19" s="1051"/>
      <c r="R19" s="1034">
        <f>IF(M19="","",IF(AE19=0,"",AE19))</f>
      </c>
      <c r="S19" s="1194"/>
      <c r="T19" s="174"/>
      <c r="U19" s="174"/>
      <c r="V19" s="165"/>
      <c r="W19" s="174"/>
      <c r="X19" s="165"/>
      <c r="Y19" s="165"/>
      <c r="AA19" s="170"/>
      <c r="AB19" s="172"/>
      <c r="AC19" s="172"/>
      <c r="AE19" s="242">
        <f>IF(AJ19&lt;0,0,AJ19)</f>
        <v>0</v>
      </c>
      <c r="AF19" s="242"/>
      <c r="AG19" s="242"/>
      <c r="AH19" s="46" t="s">
        <v>65</v>
      </c>
      <c r="AI19" s="46"/>
      <c r="AJ19" s="69">
        <f>IF(AND(C6,J19&gt;0,NOT(R11&gt;0),J20=0,(AG9*12*J19)&lt;AE9),(AG9*12*(J19-J22)),IF(AND(C6,J19&gt;0,NOT(R11&gt;0),J20=0,(AG9*12*J19)&gt;AE9),AE9-R22,IF(AND(J19=0,NOT(R11&gt;0),J22&gt;0,R22&gt;0),AE9-R22,IF(J20&gt;0,J20,IF(AND(NOT(R11&gt;0),J19&gt;0,(AG9*J10*J19)&gt;=AJ10),AJ10-R22,IF(AND(J19&gt;0,NOT(R11&gt;0),J20=0,(AG9*J10*J19)&lt;AE9),(AG9*J10*(J19-J22)),0))))))</f>
        <v>0</v>
      </c>
      <c r="AK19" s="46"/>
      <c r="AL19" s="73"/>
      <c r="AM19" s="46"/>
      <c r="AN19" s="46"/>
      <c r="AO19" s="75"/>
      <c r="AP19" s="69"/>
      <c r="AQ19" s="39"/>
      <c r="AR19" s="39"/>
      <c r="AS19" s="39"/>
      <c r="AT19" s="39"/>
      <c r="AW19" s="153"/>
      <c r="AX19" s="182"/>
      <c r="AZ19" s="56"/>
      <c r="BA19" s="153"/>
      <c r="BT19" s="1108"/>
      <c r="BU19" s="1109"/>
      <c r="BV19" s="1110"/>
      <c r="BX19" s="1221">
        <f>IF(CO20&gt;0,"(Cost lb of pollutant) (Customer annual lbs - allowed lbs of pollutant) = Annual Extra Strength Charge (ESC)","")</f>
      </c>
      <c r="BY19" s="1152"/>
      <c r="BZ19" s="1152"/>
      <c r="CA19" s="1152"/>
      <c r="CB19" s="1152"/>
      <c r="CC19" s="1152"/>
      <c r="CD19" s="1152"/>
      <c r="CE19" s="1152"/>
      <c r="CF19" s="1152"/>
      <c r="CG19" s="1152"/>
      <c r="CH19" s="1152"/>
      <c r="CI19" s="1222"/>
      <c r="CJ19" s="39"/>
      <c r="CK19" s="39"/>
      <c r="CL19" s="39"/>
      <c r="CN19" s="614"/>
      <c r="CO19" s="615"/>
    </row>
    <row r="20" spans="1:93" ht="14.25" customHeight="1">
      <c r="A20" s="916"/>
      <c r="B20" s="1055"/>
      <c r="C20" s="1026">
        <f>IF(AND(J21&gt;0,C7,J19&gt;0,R19&gt;0),"**Actual 2d Tier Use Cubic Ft",IF(AND(J21&gt;0,J19&gt;0,R19&gt;0),"**Actual 2d Tier Use Gallons",IF(AND(J21&gt;0,C7,(J22*R8*J10)&gt;R9,R19=0),"**Actual 2d Tier Use Cubic Ft",IF(AND(J21&gt;0,C7=FALSE,(J22*R8*J10)&gt;R9,R19&gt;0,R19=0),"**Actual 2d Tier Use Gallons",IF(AND(C7,R11&gt;0,J22&gt;0),"Actual 2d Tier Billed Cubic Feet",IF(AND(R11&gt;0,J22&gt;0),"Actual 2d Tier Billed Gallons",""))))))</f>
      </c>
      <c r="D20" s="1027"/>
      <c r="E20" s="1027"/>
      <c r="F20" s="1027"/>
      <c r="G20" s="1027"/>
      <c r="H20" s="1027"/>
      <c r="I20" s="1028"/>
      <c r="J20" s="1020"/>
      <c r="K20" s="1063"/>
      <c r="L20" s="1021"/>
      <c r="M20" s="1064">
        <f>IF(J22&gt;0,"Water Used in Tier","")</f>
      </c>
      <c r="N20" s="1027"/>
      <c r="O20" s="1027"/>
      <c r="P20" s="1027"/>
      <c r="Q20" s="1028"/>
      <c r="R20" s="1071">
        <f>IF(AND(R19&gt;0,NOT(R19="")),R19/AE9,"")</f>
      </c>
      <c r="S20" s="1105"/>
      <c r="T20" s="174"/>
      <c r="U20" s="174"/>
      <c r="V20" s="165"/>
      <c r="W20" s="174"/>
      <c r="X20" s="165"/>
      <c r="Y20" s="165"/>
      <c r="AB20" s="172"/>
      <c r="AC20" s="172"/>
      <c r="AD20" s="173"/>
      <c r="AE20" s="73">
        <f>IF(AJ19&gt;1,AJ20,MAXA(AJ20,AL19,AN20,AP20))</f>
        <v>0</v>
      </c>
      <c r="AF20" s="73"/>
      <c r="AG20" s="73"/>
      <c r="AH20" s="74" t="str">
        <f>IF(C7,"K22Revenues Ft","K22 Revenues Gals")</f>
        <v>K22 Revenues Gals</v>
      </c>
      <c r="AI20" s="72"/>
      <c r="AJ20" s="73" t="b">
        <f>IF(AND(C7,NOT(R19="")),R19/100*J21,IF(NOT(R19=""),R19/1000*J21))</f>
        <v>0</v>
      </c>
      <c r="AK20" s="72"/>
      <c r="AM20" s="72"/>
      <c r="AN20" s="72"/>
      <c r="AO20" s="74"/>
      <c r="AP20" s="73"/>
      <c r="AQ20" s="39"/>
      <c r="AR20" s="39"/>
      <c r="AS20" s="39"/>
      <c r="AT20" s="39"/>
      <c r="AW20" s="153"/>
      <c r="AX20" s="153"/>
      <c r="AZ20" s="56"/>
      <c r="BA20" s="153"/>
      <c r="BT20" s="1097">
        <f>IF(BT10=1,"Bill for Month",IF(BT10&gt;1,"Bill for  "&amp;TEXT(BT10,"0")&amp;" Months",""))</f>
      </c>
      <c r="BU20" s="1098"/>
      <c r="BV20" s="1099"/>
      <c r="BY20" s="8"/>
      <c r="BZ20" s="8"/>
      <c r="CA20" s="8"/>
      <c r="CB20" s="39"/>
      <c r="CC20" s="39"/>
      <c r="CD20" s="39"/>
      <c r="CE20" s="39"/>
      <c r="CF20" s="39"/>
      <c r="CG20" s="39"/>
      <c r="CH20" s="39"/>
      <c r="CI20" s="39"/>
      <c r="CJ20" s="39"/>
      <c r="CL20" s="35"/>
      <c r="CO20" s="616">
        <f>COUNTIF(J31:J46,"Volume + Strength")</f>
        <v>0</v>
      </c>
    </row>
    <row r="21" spans="1:93" ht="14.25" customHeight="1" thickBot="1">
      <c r="A21" s="916"/>
      <c r="B21" s="1055"/>
      <c r="C21" s="1057">
        <f>IF(AND(C7,((AG9*J10*J22)&lt;AE9),J22&gt;0),"2d Tier Rate/100 Cubic Feet",IF(J22&gt;0,"2d Tier Rate/1000 Gallons",""))</f>
      </c>
      <c r="D21" s="1058"/>
      <c r="E21" s="1058"/>
      <c r="F21" s="1058"/>
      <c r="G21" s="1058"/>
      <c r="H21" s="1058"/>
      <c r="I21" s="1059"/>
      <c r="J21" s="1094"/>
      <c r="K21" s="1095"/>
      <c r="L21" s="1096"/>
      <c r="M21" s="1140">
        <f>IF(J21=0,"","Tier Sales / Total Revenues")</f>
      </c>
      <c r="N21" s="1141"/>
      <c r="O21" s="1141"/>
      <c r="P21" s="1141"/>
      <c r="Q21" s="1142"/>
      <c r="R21" s="1103">
        <f>IF(R22="","",IF(AE20&gt;0,AE20/R14,""))</f>
      </c>
      <c r="S21" s="1104"/>
      <c r="T21" s="174"/>
      <c r="U21" s="174"/>
      <c r="V21" s="165"/>
      <c r="W21" s="174"/>
      <c r="X21" s="165"/>
      <c r="Y21" s="165"/>
      <c r="AB21" s="175"/>
      <c r="AC21" s="171"/>
      <c r="AE21" s="50"/>
      <c r="AF21" s="50"/>
      <c r="AG21" s="50"/>
      <c r="AH21" s="43"/>
      <c r="AI21" s="42"/>
      <c r="AJ21" s="65">
        <f>IF(AND(C6,(AG9*J22*12)&gt;AE10),AE10,IF(AND(C6,J23=0,(AG9*12*J22)&lt;AE10),(AG9*12*J22),IF(AND(J22=0,J23=0),AE9-AG22,IF(AND(J22=0,J23&gt;0),J23+AB46,IF(AND(J22&gt;0,J23=0,(AG9*J10*J22)&gt;=AE9),AE9-AG22,IF(AND(J22&gt;0,J23=0,(AG9*J10*J22)&lt;AE9),(AG9*J10*J22)-AG22,IF(AND(J22&gt;0,J23&gt;0),J23,0)))))))</f>
        <v>0</v>
      </c>
      <c r="AK21" s="42"/>
      <c r="AL21" s="42"/>
      <c r="AM21" s="43"/>
      <c r="AN21" s="39"/>
      <c r="AO21" s="42"/>
      <c r="AP21" s="42"/>
      <c r="AQ21" s="39"/>
      <c r="AR21" s="39"/>
      <c r="AS21" s="39"/>
      <c r="AT21" s="39"/>
      <c r="AW21" s="153"/>
      <c r="AX21" s="153"/>
      <c r="AZ21" s="56"/>
      <c r="BA21" s="153"/>
      <c r="BT21" s="1100"/>
      <c r="BU21" s="1101"/>
      <c r="BV21" s="1102"/>
      <c r="BW21" s="595"/>
      <c r="BX21" s="596">
        <f>IF(BZ10&gt;0,BZ10,IF(BZ11&gt;0,BZ11,""))</f>
      </c>
      <c r="CL21" s="35"/>
      <c r="CO21" s="604" t="s">
        <v>144</v>
      </c>
    </row>
    <row r="22" spans="1:93" ht="15.75" customHeight="1" thickBot="1" thickTop="1">
      <c r="A22" s="1046">
        <f>IF(J24&gt;0,1,"")</f>
      </c>
      <c r="B22" s="1047"/>
      <c r="C22" s="1049">
        <f>IF(AND(C7,J24&gt;0),"1st Tier Cubic Feet",IF(J24&gt;0,"1st Tier Gallons",""))</f>
      </c>
      <c r="D22" s="1079"/>
      <c r="E22" s="1079"/>
      <c r="F22" s="1079"/>
      <c r="G22" s="1079"/>
      <c r="H22" s="1079"/>
      <c r="I22" s="1080"/>
      <c r="J22" s="1060"/>
      <c r="K22" s="1061"/>
      <c r="L22" s="1062"/>
      <c r="M22" s="1068">
        <f>IF(AND(C7,J22=0,J9&gt;0),"Annual Cubic Feet Sold",IF(AND(J9&gt;0,J22=0),"Annual Gallons Sold",IF(AND(C7,J22&gt;0,J24&gt;0),"Cubic Feet Sold in Tier",IF(AND(J22&gt;0,J24&gt;0),"Gallons Sold in Tier",""))))</f>
      </c>
      <c r="N22" s="1069"/>
      <c r="O22" s="1069"/>
      <c r="P22" s="1069"/>
      <c r="Q22" s="1070"/>
      <c r="R22" s="1034">
        <f>IF(AND(C6,J22=0,J24&gt;0),AE10,IF(J24=0,"",AE22))</f>
      </c>
      <c r="S22" s="1035"/>
      <c r="T22" s="174"/>
      <c r="U22" s="174"/>
      <c r="V22" s="165"/>
      <c r="W22" s="174"/>
      <c r="X22" s="165"/>
      <c r="Y22" s="165"/>
      <c r="AA22" s="170"/>
      <c r="AB22" s="171"/>
      <c r="AC22" s="171"/>
      <c r="AE22" s="68">
        <f>IF(AND(AJ22&lt;0,J23&gt;0),J23,AJ22-AB47)</f>
        <v>0</v>
      </c>
      <c r="AF22" s="68" t="s">
        <v>25</v>
      </c>
      <c r="AG22" s="68">
        <f>IF(AND(R11&gt;0,J22=0,J23=0),(AG9*R11*J10),IF(AND(R11&gt;0,J22=0,J23&gt;0),AE9-J23,IF(AND(R11&gt;0,J22&gt;0,J23=0),(AG9*R11*J10),IF(AND(R11&gt;0,J22&gt;0,J23&gt;0,NOT((AG9*J10*J22)&gt;AE9)),(AG9*J10*J22)-J23,IF(AND(R11&gt;0,(AG9*J10*J22)&gt;AE9),(AG9*R11*J10)-(J23-(AE9-(AG9*R11*J10))),0)))))</f>
        <v>0</v>
      </c>
      <c r="AH22" s="75" t="s">
        <v>66</v>
      </c>
      <c r="AI22" s="46"/>
      <c r="AJ22" s="69">
        <f>IF(AND(J22=0,J23=0),AE9-AG22,IF(AND(J22=0,J23&gt;0),J23+AB46,IF(AND(J22&gt;0,J23=0,(AG9*J10*J22)&gt;=AE9),AE9-AG22,IF(AND(J22&gt;0,J23=0,(AG9*J10*J22)&lt;AE9),(AG9*J10*J22)-AG22,IF(AND(J22&gt;0,J23&gt;0),J23,0)))))</f>
        <v>0</v>
      </c>
      <c r="AK22" s="69"/>
      <c r="AL22" s="68"/>
      <c r="AM22" s="67"/>
      <c r="AN22" s="67"/>
      <c r="AO22" s="69"/>
      <c r="AP22" s="68"/>
      <c r="AQ22" s="67"/>
      <c r="AR22" s="67"/>
      <c r="AS22" s="67"/>
      <c r="AT22" s="67"/>
      <c r="AW22" s="153"/>
      <c r="AX22" s="153"/>
      <c r="AZ22" s="56"/>
      <c r="BA22" s="153"/>
      <c r="BT22" s="938">
        <f>IF(NOT(BZ22=""),BZ22,CO22)</f>
      </c>
      <c r="BU22" s="939"/>
      <c r="BV22" s="940"/>
      <c r="BX22" s="698"/>
      <c r="BZ22" s="594">
        <f>IF(AND(BT10&gt;0,BT12=0,BT19&gt;0),BT10*BT19,"")</f>
      </c>
      <c r="CF22" s="617"/>
      <c r="CG22" s="609"/>
      <c r="CH22" s="609"/>
      <c r="CO22" s="35">
        <f>IF(AND(C7=FALSE,BT12&gt;0,BT19=0,J22=0),AM32+(BT10*J13)-J13,IF(AND(C7=FALSE,BT12&gt;0,BT19&gt;0,J22=0),AM32+(BT10*BT19)-BT19,IF(AND(C7,J22=0,BT12&gt;0,BT19=0,J22=0),AM31+(BT10*J13)-J13,IF(AND(C7,BT12&gt;0,BT19&gt;0,J22=0),AM31+(BT10*BT19)-BT19,IF(AND(J22&gt;0,BT12&gt;0,BT19=0),AL34+(BT10*J13)-J13,IF(AND(J22&gt;0,BT12&gt;0,BT19&gt;0),AL34+(BT10*BT19)-BT19,""))))))</f>
      </c>
    </row>
    <row r="23" spans="1:92" ht="14.25" customHeight="1" thickTop="1">
      <c r="A23" s="1048"/>
      <c r="B23" s="1047"/>
      <c r="C23" s="1073">
        <f>IF(AND(C7,R11=0,J22&gt;0),"**Actual 1st Tier Use Cubic Ft",IF(AND(C7=FALSE,R11=0,J22&gt;0),"**Actual 1st Tier Use Gallons",IF(AND(C7,R11&gt;0),"Actual 1st Tier Billed Cubic Ft",IF(AND(C7=FALSE,R11&gt;0),"Actual 1st Tier Billed Gallons",""))))</f>
      </c>
      <c r="D23" s="1074"/>
      <c r="E23" s="1074"/>
      <c r="F23" s="1074"/>
      <c r="G23" s="1074"/>
      <c r="H23" s="1074"/>
      <c r="I23" s="1075"/>
      <c r="J23" s="1020"/>
      <c r="K23" s="1063"/>
      <c r="L23" s="1021"/>
      <c r="M23" s="1064">
        <f>IF(J24&gt;0,"Water Used in Tier","")</f>
      </c>
      <c r="N23" s="1065"/>
      <c r="O23" s="1065"/>
      <c r="P23" s="1065"/>
      <c r="Q23" s="1066"/>
      <c r="R23" s="1071">
        <f>IF(J24=0,"",IF(AND(R22&gt;0,OR(R19=0,R19="")),100%,IF(NOT(R22=""),MAXA(AJ27:AJ31),"")))</f>
      </c>
      <c r="S23" s="1072"/>
      <c r="T23" s="174"/>
      <c r="U23" s="174"/>
      <c r="V23" s="165"/>
      <c r="W23" s="174"/>
      <c r="X23" s="165"/>
      <c r="Y23" s="699"/>
      <c r="AA23" s="155"/>
      <c r="AB23" s="176"/>
      <c r="AC23" s="279"/>
      <c r="AE23" s="71">
        <f>IF(AND(AJ22&lt;0,J23&gt;0),AE22/1000*J24,AJ23)</f>
        <v>0</v>
      </c>
      <c r="AF23" s="71" t="s">
        <v>26</v>
      </c>
      <c r="AG23" s="71">
        <f>IF(C7,AG22/100*J24,AG22/1000*J24)</f>
        <v>0</v>
      </c>
      <c r="AH23" s="70" t="str">
        <f>IF(C7,"K25Revenues Ft","K23 Revenues Gals")</f>
        <v>K23 Revenues Gals</v>
      </c>
      <c r="AI23" s="73"/>
      <c r="AJ23" s="73">
        <f>IF(C7,AJ22/100*J24,AJ22/1000*J24)</f>
        <v>0</v>
      </c>
      <c r="AK23" s="73"/>
      <c r="AL23" s="73"/>
      <c r="AM23" s="71"/>
      <c r="AN23" s="71"/>
      <c r="AO23" s="70"/>
      <c r="AP23" s="71"/>
      <c r="AQ23" s="71"/>
      <c r="AR23" s="71">
        <f>IF(C7,AR22/100*J24,AR22/1000*J24)</f>
        <v>0</v>
      </c>
      <c r="AS23" s="71"/>
      <c r="AW23" s="153"/>
      <c r="AX23" s="158"/>
      <c r="AZ23" s="56"/>
      <c r="BA23" s="153"/>
      <c r="BT23"/>
      <c r="BU23" s="593"/>
      <c r="BV23" s="941">
        <f>IF(CO20&gt;0,"Pollutant:","")</f>
      </c>
      <c r="BW23" s="942"/>
      <c r="BX23" s="942"/>
      <c r="BY23" s="942"/>
      <c r="BZ23" s="942"/>
      <c r="CB23" s="618">
        <f>IF(CO20&gt;0,"BOD","")</f>
      </c>
      <c r="CC23" s="618">
        <f>IF(CO20&gt;0,"TSS","")</f>
      </c>
      <c r="CD23" s="618">
        <f>IF(CO20&gt;0,"NH","")</f>
      </c>
      <c r="CE23" s="618">
        <f>IF(CO20&gt;0,"FOG","")</f>
      </c>
      <c r="CF23" s="619"/>
      <c r="CG23" s="620"/>
      <c r="CH23" s="620"/>
      <c r="CI23" s="620"/>
      <c r="CJ23" s="620"/>
      <c r="CK23" s="620"/>
      <c r="CL23" s="160"/>
      <c r="CM23" s="621"/>
      <c r="CN23" s="622"/>
    </row>
    <row r="24" spans="1:92" ht="15.75" customHeight="1" thickBot="1">
      <c r="A24" s="1048"/>
      <c r="B24" s="1047"/>
      <c r="C24" s="1052">
        <f>IF(AND(C6,C7,J9&gt;0),"Wastewater Rate per 100 Cubic Feet",IF(AND(C6,J9&gt;0),"Wastwater Rate per 1000 Gallons",IF(AND(C7,J9&gt;0,NOT(C6)),"1st Tier Water Rate/100 Cubic Feet",IF(AND(NOT(C6),J9&gt;0),"1st Tier Water Rate/1000 Gallons",""))))</f>
      </c>
      <c r="D24" s="1053"/>
      <c r="E24" s="1053"/>
      <c r="F24" s="1053"/>
      <c r="G24" s="1053"/>
      <c r="H24" s="1053"/>
      <c r="I24" s="1054"/>
      <c r="J24" s="1094"/>
      <c r="K24" s="1095"/>
      <c r="L24" s="1096"/>
      <c r="M24" s="1067">
        <f>IF(J24=0,"","Tier Sales / Total Revenues")</f>
      </c>
      <c r="N24" s="1053"/>
      <c r="O24" s="1053"/>
      <c r="P24" s="1053"/>
      <c r="Q24" s="1054"/>
      <c r="R24" s="1029">
        <f>IF(J8=0,"",IF(AND(R22=0,NOT(R23="")),0,IF(AE23=0,"",IF(AE23&gt;0,AE23/R14,""))))</f>
      </c>
      <c r="S24" s="1030"/>
      <c r="T24" s="512"/>
      <c r="U24" s="174"/>
      <c r="V24" s="165"/>
      <c r="W24" s="174"/>
      <c r="X24" s="165"/>
      <c r="Y24" s="165"/>
      <c r="AB24" s="176"/>
      <c r="AC24" s="957" t="s">
        <v>154</v>
      </c>
      <c r="AD24" s="958"/>
      <c r="AE24" s="598">
        <f>AE18+AE20+AE23</f>
        <v>0</v>
      </c>
      <c r="AF24" s="45"/>
      <c r="AG24" s="45"/>
      <c r="AH24" s="74"/>
      <c r="AI24" s="42"/>
      <c r="AJ24" s="77"/>
      <c r="AK24" s="42"/>
      <c r="AL24" s="65"/>
      <c r="AM24" s="43"/>
      <c r="AN24" s="42"/>
      <c r="AO24" s="45"/>
      <c r="AP24" s="45"/>
      <c r="AU24"/>
      <c r="AV24"/>
      <c r="AW24"/>
      <c r="AX24"/>
      <c r="AZ24" s="56"/>
      <c r="BG24" s="35"/>
      <c r="BH24" s="35"/>
      <c r="BI24" s="271"/>
      <c r="BJ24" s="35"/>
      <c r="BK24" s="35"/>
      <c r="BN24" s="35"/>
      <c r="BO24" s="35"/>
      <c r="BP24" s="35"/>
      <c r="BT24" s="35"/>
      <c r="BV24" s="941">
        <f>IF(CO20&gt;0,"Pollutant Limits:","")</f>
      </c>
      <c r="BW24" s="942"/>
      <c r="BX24" s="942"/>
      <c r="BY24" s="942"/>
      <c r="BZ24" s="942"/>
      <c r="CB24" s="618"/>
      <c r="CC24" s="618"/>
      <c r="CD24" s="618"/>
      <c r="CE24" s="618"/>
      <c r="CF24" s="619"/>
      <c r="CG24" s="620"/>
      <c r="CH24" s="620"/>
      <c r="CI24" s="620"/>
      <c r="CJ24" s="620"/>
      <c r="CK24" s="620"/>
      <c r="CL24" s="160"/>
      <c r="CM24" s="621"/>
      <c r="CN24" s="622"/>
    </row>
    <row r="25" spans="1:94" ht="18" customHeight="1" thickTop="1">
      <c r="A25" s="1076" t="str">
        <f>IF(OR(F55&gt;0,F67&gt;0,F75&gt;0),"ERROR!",IF(G55=1,"NOTE!",""))</f>
        <v>ERROR!</v>
      </c>
      <c r="B25" s="1077"/>
      <c r="C25" s="1077"/>
      <c r="D25" s="1077"/>
      <c r="E25" s="1077"/>
      <c r="F25" s="1031" t="str">
        <f>IF(F68&gt;0,F68,IF(F55&gt;0,F56,IF(F75&gt;0,F75,IF(G55&gt;0,G56,""))))</f>
        <v>Missing Information!</v>
      </c>
      <c r="G25" s="1032"/>
      <c r="H25" s="1032"/>
      <c r="I25" s="1032"/>
      <c r="J25" s="1032"/>
      <c r="K25" s="1032"/>
      <c r="L25" s="1032"/>
      <c r="M25" s="1032"/>
      <c r="N25" s="1032"/>
      <c r="O25" s="1032"/>
      <c r="P25" s="1032"/>
      <c r="Q25" s="1032"/>
      <c r="R25" s="1032"/>
      <c r="S25" s="1032"/>
      <c r="T25" s="1032"/>
      <c r="U25" s="1032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BA25"/>
      <c r="BB25"/>
      <c r="BC25"/>
      <c r="BD25"/>
      <c r="BE25"/>
      <c r="BF25"/>
      <c r="BI25"/>
      <c r="BL25"/>
      <c r="BM25"/>
      <c r="BR25"/>
      <c r="BS25"/>
      <c r="BV25" s="941">
        <f>IF(CO20&gt;0,"WWTP INF annual average strength:","")</f>
      </c>
      <c r="BW25" s="942"/>
      <c r="BX25" s="942"/>
      <c r="BY25" s="942"/>
      <c r="BZ25" s="942"/>
      <c r="CB25" s="618"/>
      <c r="CC25" s="618"/>
      <c r="CD25" s="618"/>
      <c r="CE25" s="618"/>
      <c r="CF25" s="619"/>
      <c r="CG25" s="620"/>
      <c r="CH25" s="620"/>
      <c r="CI25" s="620"/>
      <c r="CJ25" s="620"/>
      <c r="CK25" s="620"/>
      <c r="CL25" s="620"/>
      <c r="CM25" s="620"/>
      <c r="CN25" s="620"/>
      <c r="CO25" s="35"/>
      <c r="CP25" s="35"/>
    </row>
    <row r="26" spans="1:92" ht="17.25" customHeight="1" thickBot="1">
      <c r="A26" s="1078"/>
      <c r="B26" s="1078"/>
      <c r="C26" s="1078"/>
      <c r="D26" s="1078"/>
      <c r="E26" s="1078"/>
      <c r="F26" s="1033"/>
      <c r="G26" s="1033"/>
      <c r="H26" s="1033"/>
      <c r="I26" s="1033"/>
      <c r="J26" s="1033"/>
      <c r="K26" s="1033"/>
      <c r="L26" s="1033"/>
      <c r="M26" s="1033"/>
      <c r="N26" s="1033"/>
      <c r="O26" s="1033"/>
      <c r="P26" s="1033"/>
      <c r="Q26" s="1033"/>
      <c r="R26" s="1033"/>
      <c r="S26" s="1033"/>
      <c r="T26" s="1033"/>
      <c r="U26" s="1033"/>
      <c r="V26" s="250"/>
      <c r="W26" s="506"/>
      <c r="X26" s="250"/>
      <c r="Y26" s="250"/>
      <c r="Z26" s="250"/>
      <c r="AA26" s="250"/>
      <c r="AB26" s="250"/>
      <c r="AC26" s="250"/>
      <c r="AD26" s="250"/>
      <c r="AE26" s="250"/>
      <c r="AF26" s="250"/>
      <c r="AG26" s="700"/>
      <c r="AH26" s="250"/>
      <c r="AI26" s="250"/>
      <c r="AJ26" s="263"/>
      <c r="AK26" s="250"/>
      <c r="AL26" s="250"/>
      <c r="AM26" s="250"/>
      <c r="AN26" s="250"/>
      <c r="AO26" s="250"/>
      <c r="AP26" s="250"/>
      <c r="AQ26" s="250"/>
      <c r="AR26" s="250"/>
      <c r="AS26" s="250"/>
      <c r="AU26"/>
      <c r="AV26"/>
      <c r="AW26"/>
      <c r="AX26"/>
      <c r="BA26"/>
      <c r="BB26"/>
      <c r="BC26"/>
      <c r="BD26"/>
      <c r="BE26"/>
      <c r="BF26"/>
      <c r="BG26" s="35"/>
      <c r="BH26" s="35"/>
      <c r="BI26" s="271"/>
      <c r="BJ26" s="35"/>
      <c r="BK26" s="35"/>
      <c r="BM26" s="35">
        <f>IF(R31=0,H31*$J$13,IF(R31&gt;0,H31*R31))</f>
        <v>0</v>
      </c>
      <c r="BN26" s="35"/>
      <c r="BO26" s="35"/>
      <c r="BP26" s="35"/>
      <c r="BT26" s="514"/>
      <c r="BV26" s="941">
        <f>IF(CO20&gt;0,"Percent of treatment costs assigned:","")</f>
      </c>
      <c r="BW26" s="942"/>
      <c r="BX26" s="942"/>
      <c r="BY26" s="942"/>
      <c r="BZ26" s="942"/>
      <c r="CB26" s="623"/>
      <c r="CC26" s="623"/>
      <c r="CD26" s="623"/>
      <c r="CE26" s="623"/>
      <c r="CF26" s="619"/>
      <c r="CG26" s="620"/>
      <c r="CH26" s="620"/>
      <c r="CI26" s="620"/>
      <c r="CJ26" s="620"/>
      <c r="CK26" s="620"/>
      <c r="CL26" s="620"/>
      <c r="CM26" s="621"/>
      <c r="CN26" s="622"/>
    </row>
    <row r="27" spans="1:92" ht="13.5" customHeight="1" thickBot="1" thickTop="1">
      <c r="A27" s="969" t="str">
        <f>IF(AND(C6,S7),"Additional Customer Information - Wastewater Rates",IF(S7,"Additional Customer Information - Water Rates",IF(AND(S7=FALSE,SUM(P31:P46)&gt;0),"Check 'Add Customers' cell or remove information entered below!","Not Used With Rate Structure Shown")))</f>
        <v>Not Used With Rate Structure Shown</v>
      </c>
      <c r="B27" s="970"/>
      <c r="C27" s="970"/>
      <c r="D27" s="970"/>
      <c r="E27" s="970"/>
      <c r="F27" s="970"/>
      <c r="G27" s="970"/>
      <c r="H27" s="970"/>
      <c r="I27" s="970"/>
      <c r="J27" s="970"/>
      <c r="K27" s="970"/>
      <c r="L27" s="970"/>
      <c r="M27" s="970"/>
      <c r="N27" s="970"/>
      <c r="O27" s="970"/>
      <c r="P27" s="970"/>
      <c r="Q27" s="970"/>
      <c r="R27" s="970"/>
      <c r="S27" s="970"/>
      <c r="T27" s="970"/>
      <c r="U27" s="971"/>
      <c r="V27" s="251"/>
      <c r="W27" s="506"/>
      <c r="X27" s="250"/>
      <c r="Y27" s="250"/>
      <c r="Z27" s="250"/>
      <c r="AA27" s="250"/>
      <c r="AB27" s="250"/>
      <c r="AC27" s="250"/>
      <c r="AD27" s="250"/>
      <c r="AE27" s="250"/>
      <c r="AF27" s="250"/>
      <c r="AG27" s="983" t="s">
        <v>62</v>
      </c>
      <c r="AH27" s="984"/>
      <c r="AI27" s="986">
        <f>IF((AE23+AE20+AE18)&gt;0,AE23+AE20+AE18,0)</f>
        <v>0</v>
      </c>
      <c r="AJ27" s="263" t="e">
        <f>IF(AND(R11=0,R22&gt;0,J23=0),R22/AJ10,0)</f>
        <v>#VALUE!</v>
      </c>
      <c r="AK27" s="262"/>
      <c r="AL27" s="262"/>
      <c r="AM27" s="262"/>
      <c r="AN27" s="262"/>
      <c r="AO27" s="262"/>
      <c r="AP27" s="262"/>
      <c r="AQ27" s="262"/>
      <c r="AR27" s="250"/>
      <c r="AS27" s="250"/>
      <c r="AT27" s="396"/>
      <c r="AU27"/>
      <c r="AV27"/>
      <c r="AW27"/>
      <c r="AX27"/>
      <c r="BA27"/>
      <c r="BB27"/>
      <c r="BC27"/>
      <c r="BD27"/>
      <c r="BE27"/>
      <c r="BF27"/>
      <c r="BG27" s="35"/>
      <c r="BH27" s="35"/>
      <c r="BI27" s="271"/>
      <c r="BJ27" s="35"/>
      <c r="BK27" s="35"/>
      <c r="BM27" s="35">
        <f>IF(AND(P31=0,R31=0),0,IF(AND(P31=0,R31&gt;0,R31&gt;$J$13),H31*($J$13-R31),IF(AND(P31=0,R31&gt;0,R31&lt;$J$13),-(H31*($J$13-R31)),0)))</f>
        <v>0</v>
      </c>
      <c r="BN27" s="35"/>
      <c r="BO27" s="35"/>
      <c r="BP27" s="35"/>
      <c r="BV27" s="941">
        <f>IF(CO20&gt;0,"Cost per pound to treat:","")</f>
      </c>
      <c r="BW27" s="945"/>
      <c r="BX27" s="945"/>
      <c r="BY27" s="945"/>
      <c r="BZ27" s="945"/>
      <c r="CB27" s="624">
        <f>IF(AND($C$6,$C$7,CB25&gt;0,CB26&gt;0,$CB$28&gt;0),$CB$28*CB26/(($R$9*7.48/1000000)*8.34*CB25),IF(AND($C$6,CB25&gt;0,CB26&gt;0,$CB$28&gt;0),$CB$28*CB26/(($R$9/1000000)*8.34*CB25),""))</f>
      </c>
      <c r="CC27" s="624">
        <f>IF(AND($C$6,$C$7,CC25&gt;0,CC26&gt;0,$CB$28&gt;0),$CB$28*CC26/(($R$9*7.48/1000000)*8.34*CC25),IF(AND($C$6,CC25&gt;0,CC26&gt;0,$CB$28&gt;0),$CB$28*CC26/(($R$9/1000000)*8.34*CC25),""))</f>
      </c>
      <c r="CD27" s="624">
        <f>IF(AND($C$6,$C$7,CD25&gt;0,CD26&gt;0,$CB$28&gt;0),$CB$28*CD26/(($R$9*7.48/1000000)*8.34*CD25),IF(AND($C$6,CD25&gt;0,CD26&gt;0,$CB$28&gt;0),$CB$28*CD26/(($R$9/1000000)*8.34*CD25),""))</f>
      </c>
      <c r="CE27" s="624">
        <f>IF(AND($C$6,$C$7,CE25&gt;0,CE26&gt;0,$CB$28&gt;0),$CB$28*CE26/(($R$9*7.48/1000000)*8.34*CE25),IF(AND($C$6,CE25&gt;0,CE26&gt;0,$CB$28&gt;0),$CB$28*CE26/(($R$9/1000000)*8.34*CE25),""))</f>
      </c>
      <c r="CF27" s="619"/>
      <c r="CG27" s="160"/>
      <c r="CH27" s="160"/>
      <c r="CI27" s="160"/>
      <c r="CJ27" s="160"/>
      <c r="CK27" s="620"/>
      <c r="CL27" s="620"/>
      <c r="CM27" s="620"/>
      <c r="CN27" s="622"/>
    </row>
    <row r="28" spans="1:92" ht="14.25" customHeight="1" thickBot="1">
      <c r="A28" s="972"/>
      <c r="B28" s="973"/>
      <c r="C28" s="973"/>
      <c r="D28" s="973"/>
      <c r="E28" s="973"/>
      <c r="F28" s="973"/>
      <c r="G28" s="973"/>
      <c r="H28" s="973"/>
      <c r="I28" s="973"/>
      <c r="J28" s="973"/>
      <c r="K28" s="973"/>
      <c r="L28" s="973"/>
      <c r="M28" s="973"/>
      <c r="N28" s="973"/>
      <c r="O28" s="973"/>
      <c r="P28" s="973"/>
      <c r="Q28" s="973"/>
      <c r="R28" s="973"/>
      <c r="S28" s="973"/>
      <c r="T28" s="973"/>
      <c r="U28" s="974"/>
      <c r="V28" s="251"/>
      <c r="W28" s="506"/>
      <c r="X28" s="250"/>
      <c r="Y28" s="250"/>
      <c r="Z28" s="250"/>
      <c r="AA28" s="250"/>
      <c r="AB28" s="250"/>
      <c r="AC28" s="250"/>
      <c r="AD28" s="250"/>
      <c r="AE28" s="250"/>
      <c r="AF28" s="250"/>
      <c r="AG28" s="985"/>
      <c r="AH28" s="985"/>
      <c r="AI28" s="987"/>
      <c r="AJ28" s="118">
        <f>IF(AND(R11=0,J23&gt;0,J22&gt;0),J23/AE9,0)</f>
        <v>0</v>
      </c>
      <c r="AK28" s="264">
        <f>IF(AND(R11&gt;0,BT12&lt;(BT16*R11)),0,IF(AND(R11&gt;0,J22=0,(R11*BT10)&gt;BT12),0,IF(AND(R11&gt;0,J22=0),SUM(AL28:AP28)-SUM(AN31:AQ31),SUM(AL28:AP28)-SUM(AN31:AQ31))))</f>
        <v>0</v>
      </c>
      <c r="AL28" s="265">
        <f>IF(AND(J22&gt;0,BT12&gt;J22),(J22/100*J24),BT12/100*J24)</f>
        <v>0</v>
      </c>
      <c r="AM28" s="265">
        <f>IF(AND(BT12&gt;J22,J19=0),(BT12-J22)/100*J21,0)</f>
        <v>0</v>
      </c>
      <c r="AN28" s="265">
        <f>IF(AND(BT12&gt;=J19,J19&gt;0,J19&gt;J22),(J19-J22)/100*J21,0)</f>
        <v>0</v>
      </c>
      <c r="AO28" s="265">
        <f>IF(AND(BT12&lt;J19,BT12&gt;J22,J19&gt;0),(BT12-J22)/100*J21,0)</f>
        <v>0</v>
      </c>
      <c r="AP28" s="265">
        <f>IF(AND(BT12&gt;J19,J19&gt;0,J19&gt;J22),(BT12-J19)/100*J18,0)</f>
        <v>0</v>
      </c>
      <c r="AQ28" s="249"/>
      <c r="AR28" s="250"/>
      <c r="AS28" s="250"/>
      <c r="AT28" s="396"/>
      <c r="AU28"/>
      <c r="AV28"/>
      <c r="AW28"/>
      <c r="AX28"/>
      <c r="BA28"/>
      <c r="BB28"/>
      <c r="BC28"/>
      <c r="BD28"/>
      <c r="BE28"/>
      <c r="BF28"/>
      <c r="BG28" s="35"/>
      <c r="BH28" s="35"/>
      <c r="BI28" s="271"/>
      <c r="BJ28" s="35"/>
      <c r="BK28" s="35"/>
      <c r="BM28" s="982"/>
      <c r="BN28" s="35"/>
      <c r="BO28" s="35"/>
      <c r="BP28" s="35"/>
      <c r="BV28" s="989">
        <f>IF(CO20&gt;0,"Annual costs for all treatment:","")</f>
      </c>
      <c r="BW28" s="990"/>
      <c r="BX28" s="990"/>
      <c r="BY28" s="990"/>
      <c r="BZ28" s="990"/>
      <c r="CB28" s="988"/>
      <c r="CC28" s="988"/>
      <c r="CD28" s="988"/>
      <c r="CE28" s="988"/>
      <c r="CF28" s="619"/>
      <c r="CG28" s="955">
        <f>IF(CO20&gt;0,"Annual cost for EXCESS pounds of pollutants","")</f>
      </c>
      <c r="CH28" s="956"/>
      <c r="CI28" s="956"/>
      <c r="CJ28" s="956"/>
      <c r="CK28" s="955">
        <f>IF(CO20&gt;0,"Customers annual EXCESS pounds of pollutants","")</f>
      </c>
      <c r="CL28" s="955"/>
      <c r="CM28" s="955"/>
      <c r="CN28" s="955"/>
    </row>
    <row r="29" spans="1:94" ht="17.25" customHeight="1" thickBot="1" thickTop="1">
      <c r="A29" s="1014">
        <f>IF(S7,"Customer","")</f>
      </c>
      <c r="B29" s="1015"/>
      <c r="C29" s="1015"/>
      <c r="D29" s="1015"/>
      <c r="E29" s="1015"/>
      <c r="F29" s="1015"/>
      <c r="G29" s="1016"/>
      <c r="H29" s="964">
        <f>IF(S7,"Service Charges Billed","")</f>
      </c>
      <c r="I29" s="964"/>
      <c r="J29" s="964">
        <f>IF(S7,"Billing Unit","")</f>
      </c>
      <c r="K29" s="962"/>
      <c r="L29" s="967">
        <f>+IF(S7,"Use Calculation","")</f>
      </c>
      <c r="M29" s="968"/>
      <c r="N29" s="968"/>
      <c r="O29" s="968"/>
      <c r="P29" s="961">
        <f>IF(AND(C7,S7,NOT(C6)),"Cubic Feet in Period",IF(AND(S7,NOT(C6)),"Gallons in Period",IF(AND(C6,S7,C7),"Annual Cubic Feet",IF(AND(C6,S7),"Annual Gallons",""))))</f>
      </c>
      <c r="Q29" s="962"/>
      <c r="R29" s="961">
        <f>IF(S7,"Different Svc Charge?","")</f>
      </c>
      <c r="S29" s="961"/>
      <c r="T29" s="976">
        <f>IF(S7,"Estimated Revenue/Use Factor","")</f>
      </c>
      <c r="U29" s="977"/>
      <c r="V29" s="165"/>
      <c r="W29" s="174"/>
      <c r="X29" s="165"/>
      <c r="Y29" s="165"/>
      <c r="Z29" s="165"/>
      <c r="AA29" s="177"/>
      <c r="AB29" s="83"/>
      <c r="AC29" s="83"/>
      <c r="AD29" s="159"/>
      <c r="AE29" s="82" t="s">
        <v>27</v>
      </c>
      <c r="AF29" s="82"/>
      <c r="AG29" s="266" t="s">
        <v>28</v>
      </c>
      <c r="AH29" s="267"/>
      <c r="AI29" s="268">
        <f>(AJ9*J13*J10)+AI30</f>
        <v>0</v>
      </c>
      <c r="AJ29" s="81">
        <f>IF(R19=0,1,0)</f>
        <v>0</v>
      </c>
      <c r="AK29" s="253">
        <f>IF(AND(R11&gt;0,BT12&lt;(BT16*R11)),0,IF(AND(R11&gt;0,J22=0,(R11*BT10)&gt;BT12),0,IF(AND(R11&gt;0,J22=0),SUM(AL29:AP29)-SUM(AN32:AQ32),SUM(AL29:AP29)-SUM(AN32:AQ32))))</f>
        <v>0</v>
      </c>
      <c r="AL29" s="78">
        <f>IF(AND(J22&gt;0,BT12&gt;J22),(J22/1000*J24),BT12/1000*J24)</f>
        <v>0</v>
      </c>
      <c r="AM29" s="78">
        <f>IF(AND(BT12&gt;J22,J19=0),(BT12-J22)/1000*J21,0)</f>
        <v>0</v>
      </c>
      <c r="AN29" s="78">
        <f>IF(AND(BT12&gt;=J19,J19&gt;0,J19&gt;J22),(J19-J22)/1000*J21,0)</f>
        <v>0</v>
      </c>
      <c r="AO29" s="78">
        <f>IF(AND(BT12&lt;J19,BT12&gt;J22,J19&gt;0),(BT12-J22)/1000*J21,0)</f>
        <v>0</v>
      </c>
      <c r="AP29" s="78">
        <f>IF(AND(BT12&gt;J19,J19&gt;0,J19&gt;J22),(BT12-J19)/1000*J18,0)</f>
        <v>0</v>
      </c>
      <c r="AQ29" s="254"/>
      <c r="AR29" s="247"/>
      <c r="AS29" s="161"/>
      <c r="AT29"/>
      <c r="AU29"/>
      <c r="AV29"/>
      <c r="AW29"/>
      <c r="AX29"/>
      <c r="BA29"/>
      <c r="BB29"/>
      <c r="BC29"/>
      <c r="BD29"/>
      <c r="BE29"/>
      <c r="BF29"/>
      <c r="BG29" s="35"/>
      <c r="BH29" s="35"/>
      <c r="BI29" s="271"/>
      <c r="BJ29" s="35"/>
      <c r="BK29" s="35"/>
      <c r="BL29" s="35">
        <f>IF(AND(P31=0,R31=0),0,IF(AND(P31=0,R31&gt;0,R31&gt;$J$13),H31*(R31-$J$13),IF(AND(P31=0,R31&gt;0,R31&lt;$J$13),-(H31*($J$13-R31)),IF(R31=0,H31*$J$13,IF(R31&gt;0,H31*R31)))))</f>
        <v>0</v>
      </c>
      <c r="BM29" s="982"/>
      <c r="BN29" s="35"/>
      <c r="BO29" s="35" t="s">
        <v>63</v>
      </c>
      <c r="BP29" s="35"/>
      <c r="BT29" s="944">
        <f>IF(AND(SUM(H31:H46)&gt;0,C6),"Annual Service Charges",IF(AND(J10=12,SUM(H31:H46)&gt;0),"Annual Service Charges",IF(SUM(H31:H46)&gt;0,"Svc Chgs in Period","")))</f>
      </c>
      <c r="BU29" s="944">
        <f>IF(AND($C$6,SUM(H31:H46)&gt;0),"Est. Total Annual Cost ",IF(AND(J10=12,SUM(H31:H46)&gt;0),"Est. Total Annual Cost ",IF(AND(J10&lt;12,SUM(H31:H46)&gt;0),"Est. Total Cost in Period","")))</f>
      </c>
      <c r="BV29" s="944"/>
      <c r="BW29" s="951">
        <f>IF(SUM(H31:H46)&gt;0,"% Use","")</f>
      </c>
      <c r="BX29" s="943">
        <f>IF(SUM(H31:H46)&gt;0,"% Revenues","")</f>
      </c>
      <c r="BY29" s="952">
        <f>IF(SUM(H31:H46)&gt;0,"Sugg. Mo Vol Service Charge","")</f>
      </c>
      <c r="BZ29" s="954">
        <f>IF(AND(CO20&gt;0,SUM(CF31:CF46)&gt;0),"Sugg. Mo Additional Chg for EFC","")</f>
      </c>
      <c r="CB29" s="955">
        <f>IF(CO20&gt;0,"Customer average strength","")</f>
      </c>
      <c r="CC29" s="955"/>
      <c r="CD29" s="955"/>
      <c r="CE29" s="955"/>
      <c r="CF29" s="955">
        <f>IF(CO20&gt;0,"Annual  ESC","")</f>
      </c>
      <c r="CG29" s="956"/>
      <c r="CH29" s="956"/>
      <c r="CI29" s="956"/>
      <c r="CJ29" s="956"/>
      <c r="CK29" s="955"/>
      <c r="CL29" s="955"/>
      <c r="CM29" s="955"/>
      <c r="CN29" s="955"/>
      <c r="CO29" s="953" t="s">
        <v>145</v>
      </c>
      <c r="CP29" s="949" t="s">
        <v>141</v>
      </c>
    </row>
    <row r="30" spans="1:94" ht="22.5" customHeight="1" thickTop="1">
      <c r="A30" s="1017"/>
      <c r="B30" s="1018"/>
      <c r="C30" s="1018"/>
      <c r="D30" s="1018"/>
      <c r="E30" s="1018"/>
      <c r="F30" s="1018"/>
      <c r="G30" s="1019"/>
      <c r="H30" s="1022"/>
      <c r="I30" s="1022"/>
      <c r="J30" s="963"/>
      <c r="K30" s="963"/>
      <c r="L30" s="965">
        <f>IF(S7,"Add Vol Charge %","")</f>
      </c>
      <c r="M30" s="966"/>
      <c r="N30" s="959">
        <f>IF(S7,"ERU","")</f>
      </c>
      <c r="O30" s="960"/>
      <c r="P30" s="963"/>
      <c r="Q30" s="963"/>
      <c r="R30" s="975"/>
      <c r="S30" s="975"/>
      <c r="T30" s="978"/>
      <c r="U30" s="979"/>
      <c r="V30" s="165"/>
      <c r="X30" s="165"/>
      <c r="Y30" s="165"/>
      <c r="Z30" s="165"/>
      <c r="AB30" s="580" t="s">
        <v>151</v>
      </c>
      <c r="AC30" s="83" t="s">
        <v>29</v>
      </c>
      <c r="AD30" s="248" t="s">
        <v>30</v>
      </c>
      <c r="AE30" s="83"/>
      <c r="AF30" s="79"/>
      <c r="AG30" s="80" t="s">
        <v>31</v>
      </c>
      <c r="AH30" s="80"/>
      <c r="AI30" s="80">
        <f>IF(S7,AG36,0)</f>
        <v>0</v>
      </c>
      <c r="AJ30" s="81">
        <f>IF(AND(R11&gt;0,J23&gt;0),(J23+(AE9-R10))/AE9,0)</f>
        <v>0</v>
      </c>
      <c r="AK30" s="255"/>
      <c r="AL30" s="82" t="s">
        <v>32</v>
      </c>
      <c r="AM30" s="82" t="s">
        <v>10</v>
      </c>
      <c r="AN30" s="82" t="s">
        <v>25</v>
      </c>
      <c r="AO30" s="82"/>
      <c r="AP30" s="83"/>
      <c r="AQ30" s="256"/>
      <c r="AR30" s="93" t="b">
        <f>OR(AND(P31&gt;0,(A31*P31)&lt;(A31*$R$11)),AND(P32&gt;0,(G32*P32)&lt;(G32*$R$11)),AND(P33&gt;0,(G33*P33)&lt;(G33*$R$11)),AND(P34&gt;0,(G34*P34)&lt;(G34*$R$11)),AND(P35&gt;0,(G35*P35)&lt;(G35*$R$11)),AND(P36&gt;0,(G36*P36)&lt;(G36*$R$11)),AND(P37&gt;0,(G37*P37)&lt;(G37*$R$11)),AND(P38&gt;0,(G38*P38)&lt;(G38*$R$11)),AND(P39&gt;0,(G39*P39)&lt;(G39*$R$11)),AND(P40&gt;0,(G40*P40)&lt;(G40*$R$11)),AND(P41&gt;0,(G41*P41)&lt;(G41*$R$11)),AND(P42&gt;0,(G42*P42)&lt;(G42*$R$11)),AND(P43&gt;0,(G43*P43)&lt;(G43*$R$11)),AND(P44&gt;0,(G44*P44)&lt;(G44*$R$11)),AND(P45&gt;0,(G45*P45)&lt;(G45*$R$11)),AND(P46&gt;0,(G46*P46)&lt;(G46*$R$11)))</f>
        <v>0</v>
      </c>
      <c r="AS30" s="177" t="s">
        <v>40</v>
      </c>
      <c r="AT30"/>
      <c r="AU30"/>
      <c r="AV30"/>
      <c r="AW30"/>
      <c r="AX30"/>
      <c r="BA30"/>
      <c r="BB30"/>
      <c r="BC30"/>
      <c r="BD30"/>
      <c r="BE30"/>
      <c r="BF30"/>
      <c r="BG30" s="35"/>
      <c r="BH30" s="35"/>
      <c r="BI30" s="271"/>
      <c r="BJ30" s="35"/>
      <c r="BK30" s="507" t="s">
        <v>140</v>
      </c>
      <c r="BL30" s="35" t="s">
        <v>60</v>
      </c>
      <c r="BM30" s="982"/>
      <c r="BN30" s="35" t="s">
        <v>61</v>
      </c>
      <c r="BO30" s="35">
        <f>IF(SUM(AU30:AY30)&gt;0,1,IF(SUM(AU31:AX31)&gt;0,1,0))</f>
        <v>0</v>
      </c>
      <c r="BP30" s="35"/>
      <c r="BT30" s="944"/>
      <c r="BU30" s="944"/>
      <c r="BV30" s="944"/>
      <c r="BW30" s="951"/>
      <c r="BX30" s="943"/>
      <c r="BY30" s="952"/>
      <c r="BZ30" s="954"/>
      <c r="CB30" s="160">
        <f>IF(AND(CO20&gt;0,BJ47&gt;0),"BOD","")</f>
      </c>
      <c r="CC30" s="160">
        <f>IF(AND(CO20&gt;0,BJ47&gt;0),"TSS","")</f>
      </c>
      <c r="CD30" s="160">
        <f>IF(AND(CO20&gt;0,BJ47&gt;0),"FOG","")</f>
      </c>
      <c r="CE30" s="160">
        <f>IF(AND(CO20&gt;0,BJ47&gt;0),"NH3","")</f>
      </c>
      <c r="CF30" s="955"/>
      <c r="CG30" s="160">
        <f>CB23</f>
      </c>
      <c r="CH30" s="160">
        <f>CC23</f>
      </c>
      <c r="CI30" s="160">
        <f>CD23</f>
      </c>
      <c r="CJ30" s="160">
        <f>CE23</f>
      </c>
      <c r="CK30" s="160">
        <f>CG30</f>
      </c>
      <c r="CL30" s="160">
        <f>CH30</f>
      </c>
      <c r="CM30" s="160">
        <f>CI30</f>
      </c>
      <c r="CN30" s="621">
        <f>CJ30</f>
      </c>
      <c r="CO30" s="953"/>
      <c r="CP30" s="950"/>
    </row>
    <row r="31" spans="1:96" ht="21" customHeight="1">
      <c r="A31" s="1023"/>
      <c r="B31" s="1024"/>
      <c r="C31" s="1024"/>
      <c r="D31" s="1024"/>
      <c r="E31" s="1024"/>
      <c r="F31" s="1024"/>
      <c r="G31" s="1025"/>
      <c r="H31" s="1044"/>
      <c r="I31" s="1045"/>
      <c r="J31" s="1039"/>
      <c r="K31" s="1040"/>
      <c r="L31" s="1004"/>
      <c r="M31" s="1005"/>
      <c r="N31" s="1006">
        <f>IF(ISERROR(CQ31),"",IF(AND(H31&lt;&gt;1,L31&gt;0,J31="volume + strength",L31&lt;100),"N/A",IF(BI31="x",1,IF(AND($C$6,$S$7,L31&gt;0,J31="volume + strength",CQ31&gt;0),CQ31,IF(AND($C$6,L31&gt;0,$J$11&gt;0,$J$10&lt;12,P31&gt;0,NOT(P31="x")),((P31/$J$11/12)-1)*L31+1,IF(AND($J$11&gt;0,J31="eru volume",L31&gt;0,P31&gt;0,NOT(P31="x")),CR31,IF(AND(CQ31&lt;=1,L31&gt;0),CQ31,"")))))))</f>
      </c>
      <c r="O31" s="1007"/>
      <c r="P31" s="1020"/>
      <c r="Q31" s="1021"/>
      <c r="R31" s="993"/>
      <c r="S31" s="993"/>
      <c r="T31" s="980">
        <f aca="true" t="shared" si="0" ref="T31:T46">IF(H31=0,"",IF(BW31=0,"NA",IF(CO31=0,"",IF(ISERROR(BX31/BW31*100),"NA",IF(BX31="N/A","n/A",BX31/BW31*100)))))</f>
      </c>
      <c r="U31" s="981"/>
      <c r="AA31" s="157"/>
      <c r="AB31" s="178">
        <f aca="true" t="shared" si="1" ref="AB31:AB45">IF(P31&lt;0,P31,0)</f>
        <v>0</v>
      </c>
      <c r="AC31" s="38">
        <f aca="true" t="shared" si="2" ref="AC31:AC45">IF(AND($J$24=0,H31&lt;&gt;0),H31,IF(AND($J$24&gt;0,P31=0),0,IF(AND($J$24&gt;0,P31&lt;&gt;0,H31&lt;&gt;0),H31,0)))</f>
        <v>0</v>
      </c>
      <c r="AD31" s="85">
        <f>IF($S$7,P31,0)</f>
        <v>0</v>
      </c>
      <c r="AE31" s="36">
        <f>IF(AND(H31&gt;0,P31="x"),H31,0)</f>
        <v>0</v>
      </c>
      <c r="AF31" s="86"/>
      <c r="AG31" s="243">
        <f>IF(AND(C7,S7),"Cubic Feet in Period","")</f>
      </c>
      <c r="AH31" s="88"/>
      <c r="AI31" s="89"/>
      <c r="AJ31" s="179" t="b">
        <f>IF(AND(R11&gt;0,J23=0),((AG9*J10*J22))/AE9)</f>
        <v>0</v>
      </c>
      <c r="AK31" s="90"/>
      <c r="AL31" s="91" t="b">
        <f>IF(AND(C7,BT19&gt;0),AK28+BT19,IF(AND(C7,BT19=""),AK28+J13,IF(AND(C7,BT19=0),AK28)))</f>
        <v>0</v>
      </c>
      <c r="AM31" s="91">
        <f>IF(AND(BT16&gt;0,BT19=0),AK28+(BT16*J13),IF(AND(BT16=0,BT19=0),AK28+J13,IF(AND(BT16&gt;0,BT19&gt;0),AK28+(BT16*BT19),IF(AND(BT16=0,BT19&gt;0),AK28+BT19))))</f>
        <v>0</v>
      </c>
      <c r="AN31" s="244">
        <f>IF(AND(R11&gt;BT12,AO15=0),BT12/100*J24,0)</f>
        <v>0</v>
      </c>
      <c r="AO31" s="244">
        <f>IF(AND(AP31=0,AQ31=0,R11&gt;0,BT12&gt;=R11),(R11/100*J24)*BT10,0)</f>
        <v>0</v>
      </c>
      <c r="AP31" s="245">
        <f>IF(AND(AQ31=0,R11&gt;0,BT12&gt;=BT16*R11),BT16*R11/100*J24,0)</f>
        <v>0</v>
      </c>
      <c r="AQ31" s="246">
        <f>IF(AND(C7,BT14="Units Assigned",BT16&gt;0,R11&gt;0,BT12&gt;BT16*R11),R11/100*BT16*J24,0)</f>
        <v>0</v>
      </c>
      <c r="AR31" s="177">
        <f aca="true" t="shared" si="3" ref="AR31:AR46">IF(AS31=TRUE,1,0)</f>
        <v>0</v>
      </c>
      <c r="AS31" s="177" t="b">
        <f>OR(P31="a",P31="b",P31="c",P31="d",P31="e",P31="f",P31="g",P31="H",P31="I",P31="j",P31="k",P31="l",P31="m",P31="n",P31="o",P31="p",P31="q",P31="r",P31="s",P31="t",P31="u",P31="v",P31="w",P31="y",P31="z")</f>
        <v>0</v>
      </c>
      <c r="AT31"/>
      <c r="AU31"/>
      <c r="AV31"/>
      <c r="AW31"/>
      <c r="AX31"/>
      <c r="BA31"/>
      <c r="BB31"/>
      <c r="BC31"/>
      <c r="BD31"/>
      <c r="BE31"/>
      <c r="BF31" s="504">
        <f>IF(J31=0,0,IF(P31="x","",IF(AND($C$6,$J$11&gt;0,P31&gt;0,NOT(P31="x"),((((P31/12/$J$11)-H31)*L31)+H31)&gt;1),(((P31/12/$J$11)-H31)*L31)+H31,IF(AND($C$6,$J$11&gt;0,P31&gt;0,NOT(P31="x")),P31/12/$J$11,IF(AND($J$11&gt;0,P31&gt;0,NOT(P31="x")),P31/$J$10/$J$11,0)))))</f>
        <v>0</v>
      </c>
      <c r="BG31" s="273"/>
      <c r="BH31">
        <f>IF(ISERROR(BF31),"x",BF31)</f>
        <v>0</v>
      </c>
      <c r="BI31" s="271">
        <f aca="true" t="shared" si="4" ref="BI31:BI46">IF(ISERROR(CM31),"x",CM31)</f>
      </c>
      <c r="BJ31" s="35">
        <f>IF(J31="volume + Strength",1,0)</f>
        <v>0</v>
      </c>
      <c r="BK31" s="35">
        <f>IF(AND($C$6,P31&gt;0,$J$22=0,BL31&gt;0),BL31,IF(AND(H31&gt;0,P31=0,R31=0,J$22=0,NOT($J$15="")),H31*$J$15,IF(AND(P31=0,R31&gt;0,NOT($J$14="")),(H31*$J$14)+H31*R31,IF(AND($J$24&gt;0,$J$22=0,H31&gt;0),AI35,IF(AND($J$13&gt;0,NOT($J$13=""),$J$24=0,I31&gt;0),H31*R31,"")))))</f>
      </c>
      <c r="BL31" s="149">
        <f>IF(AND($C$6,P31="x",R31&gt;0),H31*R31,IF(AND($C$6,P31="x"),H31*$J$13,IF(AND($C$6,$C$7,NOT(P31=0),H31&gt;0,R31=0),(H31*$J$13)+((P31/12/100)*$J$24),IF(AND($C$6,$C$7,NOT(P31=0),H31&gt;0,R31&gt;0),(H31*R31)+((P31/12/100)*$J$24),IF(AND($C$6,H31&gt;0,NOT(P31=0),R31=0),(H31*$J$13)+((P31/12/1000)*$J$24),IF(AND($C$6,H31&gt;0,NOT(P31=0),R31&gt;0),(H31*R31)+((P31/12/1000)*$J$24),0))))))</f>
        <v>0</v>
      </c>
      <c r="BM31" s="149">
        <f>IF(AND(P31=0,R31=0),0,IF(AND(P31=0,R31&gt;0,R31&gt;$J$13),H31*(R31-$J$13),IF(AND(P31=0,R31&gt;0,R31&lt;$J$13),-(H31*($J$13-R31)),IF(R31=0,H31*$J$13,IF(R31&gt;0,H31*R31)))))</f>
        <v>0</v>
      </c>
      <c r="BN31" s="35">
        <f>IF(J31="Volume + Strength",1,0)</f>
        <v>0</v>
      </c>
      <c r="BO31" s="35"/>
      <c r="BP31" s="35"/>
      <c r="BT31" s="516">
        <f>IF(AND($C$6,H31&gt;0,R31&gt;0),H31*R31*12,IF(AND($C$6,H31&gt;0),H31*$J$13*12,IF(AND(H31&gt;0,R31&gt;0),H31*R31*$J$10,IF(H31&gt;0,H31*$J$13*$J$10,""))))</f>
      </c>
      <c r="BU31" s="948">
        <f aca="true" t="shared" si="5" ref="BU31:BU46">IF(H31=0,"",IF(AND(H31&gt;0,P31=0),"N/A",IF(AND(H31&gt;0,P31="x"),BT31,IF(AND(H31&gt;0,P31&gt;0,P31&lt;($R$11*$J$10)),BT31,IF(AND($C$6,$C$7),CP31,IF($C$6,CO31,IF($C$7,CP31,CO31)))))))</f>
      </c>
      <c r="BV31" s="948"/>
      <c r="BW31" s="517">
        <f aca="true" t="shared" si="6" ref="BW31:BW46">IF(H31=0,"",IF(P31="X",0,IF(P31=0,0,P31/$R$9)))</f>
      </c>
      <c r="BX31" s="517">
        <f aca="true" t="shared" si="7" ref="BX31:BX46">IF(H31=0,"",IF(BU31="N/A","N/A",BU31/$R$14))</f>
      </c>
      <c r="BY31" s="518">
        <f>IF(P31="x","",IF(OR(AND($J$9=0,H31&gt;0),AND(L31&gt;0,N31=""),N31="&lt;1"),"N/A",IF(AND(H31&gt;0,L31&gt;0,NOT(N31="Check Svc Chgs!")),CEILING(((N31-H31)*$J$13)+(H31*$J$13),0.01),"")))</f>
      </c>
      <c r="BZ31" s="515">
        <f>IF(NOT(CF31=""),(CF31/12),"")</f>
      </c>
      <c r="CB31" s="597"/>
      <c r="CC31" s="597"/>
      <c r="CD31" s="597"/>
      <c r="CE31" s="597"/>
      <c r="CF31" s="617">
        <f>IF(SUM(CG31:CJ31)&gt;0,SUM(CG31:CJ31),"")</f>
      </c>
      <c r="CG31" s="625">
        <f>IF(CK31="","",IF(AND(NOT($CB$27=""),NOT(CB31=0)),CK31*$CB$27,""))</f>
      </c>
      <c r="CH31" s="625">
        <f>IF(CL31="","",IF(AND(NOT($CC$27=""),NOT(CC31=0)),CL31*$CC$27,""))</f>
      </c>
      <c r="CI31" s="625">
        <f>IF(CM31="","",IF(AND(NOT($CD$27=""),NOT(CD31=0)),CM31*$CD$27,""))</f>
      </c>
      <c r="CJ31" s="625">
        <f>IF(CN31="","",IF(AND(NOT($CE$27=""),NOT(CE31=0)),CN31*$CE$27,""))</f>
      </c>
      <c r="CK31" s="626">
        <f aca="true" t="shared" si="8" ref="CK31:CK46">IF(AND($C$6,$C$7,$CB$24&gt;0,CB31&gt;$CB$24),($P31*7.48/1000000)*8.34*(CB31-$CB$24),IF(AND($C$6,$CB$24&gt;0,CB31&gt;$CB$24),($P31/1000000)*8.34*(CB31-$CB$24),""))</f>
      </c>
      <c r="CL31" s="626">
        <f aca="true" t="shared" si="9" ref="CL31:CL46">IF(AND($C$6,$C$7,$CC$24&gt;0,CC31&gt;$CC$24),($P31*7.48/1000000)*8.34*(CC31-$CC$24),IF(AND($C$6,$CC$24&gt;0,CC31&gt;$CC$24),($P31/1000000)*8.34*(CC31-$CC$24),""))</f>
      </c>
      <c r="CM31" s="626">
        <f aca="true" t="shared" si="10" ref="CM31:CM46">IF(AND($C$6,$C$7,$CD$24&gt;0,CD31&gt;$CD$24),($P31*7.48/1000000)*8.34*(CD31-$CD$24),IF(AND($C$6,$CD$24&gt;0,CD31&gt;$CD$24),($P31/1000000)*8.34*(CD31-$CD$24),""))</f>
      </c>
      <c r="CN31" s="626">
        <f aca="true" t="shared" si="11" ref="CN31:CN46">IF(AND($C$6,$C$7,$CE$24&gt;0,CE31&gt;$CE$24),($P31*7.48/1000000)*8.34*(CE31-$CE$24),IF(AND($C$6,$CE$24&gt;0,CE31&gt;$CE$24),($P31/1000000)*8.34*(CE31-$CE$24),""))</f>
      </c>
      <c r="CO31" s="516">
        <f aca="true" t="shared" si="12" ref="CO31:CO46">IF(AND($J$22=0,NOT(BT31="")),BT31+(P31-($R$11*$J$10*$H31))/1000*$J$24,IF(AND($J$22&gt;0,P31&lt;(H31*$J$22*$J$10)),BT31+(P31-($R$11*$J$10*H31))/1000*$J$24,IF(AND($J$22&gt;0,P31&gt;(H31*$J$22*$J$10),$J$19=0),BT31+(((H31*$J$22*$J$10)-($R$11*$J$10))/1000*$J$24)+(P31-(H31*$J$22*$J$10))/1000*$J$21,IF(AND($J$22&gt;0,$J$19=0),BT31+((($J$22-$R$11)*$J$10)/1000*$J$24)+(P31-($J$22*$J$10))/1000*$J$21,IF(AND($J$22&gt;0,$J$19&gt;0,P31&lt;(H31*$J$19*$J$10)),BT31+((H31*($J$22-$R$11)*$J$10)/1000*$J$24)+(P31-(H31*$J$22)*$J$10)/1000*$J$21,IF(AND($J$22&gt;0,$J$19&gt;0,P31&gt;(H31*$J$19*$J$10)),BT31+((H31*($J$22-$R$11)*$J$10)/1000*$J$24)+((H31*($J$19-$J$22)*$J$10)/1000*$J$21)+(P31-((H31*$J$19)*$J$10))/1000*$J$18,0))))))</f>
        <v>0</v>
      </c>
      <c r="CP31" s="516">
        <f aca="true" t="shared" si="13" ref="CP31:CP46">IF(AND($C$7,$J$22=0),BT31+(P31-($R$11*$J$10*$H31))/100*$J$24,IF(AND($C$7,$J$22&gt;0,P31&lt;(H31*$J$22*$J$10)),BT31+(P31-($R$11*$J$10*$H31))/100*$J$24,IF(AND($C$7,$J$22&gt;0,P31&gt;(H31*$J$22*$J$10),$J$19=0),BT31+(((H31*$J$22*$J$10)-($R$11*$J$10))/100*$J$24)+(P31-(H31*$J$22*$J$10))/100*$J$21,IF(AND($C$7,$J$22&gt;0,$J$19=0),BT31+((($J$22-$R$11)*$J$10)/100*$J$24)+(P31-($J$22*$J$10))/100*$J$21,IF(AND($C$7,$J$22&gt;0,$J$19&gt;0,P31&lt;(H31*$J$19*$J$10)),BT31+((H31*($J$22-$R$11)*$J$10)/100*$J$24)+(P31-(H31*$J$22)*$J$10)/100*$J$21,IF(AND($C$7,$J$22&gt;0,$J$19&gt;0,P31&gt;(H31*$J$19*$J$10)),BT31+((H31*($J$22-$R$11)*$J$10)/100*$J$24)+((H31*($J$19-$J$22)*$J$10)/100*$J$21)+(P31-((H31*$J$19)*$J$10))/100*$J$18,0))))))</f>
        <v>0</v>
      </c>
      <c r="CQ31" s="504">
        <f>IF(H31&gt;1,"N/A",IF(OR(J31=0,J31="ERU Volume"),"",IF(P31="x","",IF(AND($C$6,$J$11&gt;0,P31&gt;0,NOT(P31="x"),((((P31/12/$J$11)-H31)*L31)+H31)&gt;1),(((P31/12/$J$11)-H31)*L31)+H31,IF(AND($C$6,$J$11&gt;0,P31&gt;0,NOT(P31="x")),P31/12/$J$11,IF(AND($J$11&gt;0,P31&gt;0,NOT(P31="x")),P31/$J$10/$J$11,0))))))</f>
      </c>
      <c r="CR31" s="271">
        <f>IF(J31=0,"",IF(P31="x","",IF(AND($C$6,$J$11&gt;0,P31&gt;0,NOT(P31="x"),((((P31/12/$J$11)-H31)*L31)+H31)&gt;1),(((P31/12/$J$11)-H31)*L31)+H31,IF(AND($C$6,$J$11&gt;0,P31&gt;0,NOT(P31="x")),P31/12/$J$11,IF(AND($J$11&gt;0,P31&gt;0,NOT(P31="x"),((((P31/$J$10/$J$11)-H31)*L31)+H31)&gt;1),(((P31/$J$10/$J$11)-H31)*L31)+H31,IF(AND($J$11&gt;0,P31&gt;0,NOT(P31="x"),((((P31/$J$10/$J$11)-H31)*L31)+H31)&lt;1),"&lt;1"))))))</f>
      </c>
    </row>
    <row r="32" spans="1:96" ht="20.25" customHeight="1" thickBot="1">
      <c r="A32" s="1036"/>
      <c r="B32" s="1037"/>
      <c r="C32" s="1037"/>
      <c r="D32" s="1037"/>
      <c r="E32" s="1037"/>
      <c r="F32" s="1037"/>
      <c r="G32" s="1038"/>
      <c r="H32" s="1044"/>
      <c r="I32" s="1045"/>
      <c r="J32" s="1039"/>
      <c r="K32" s="1040"/>
      <c r="L32" s="1004"/>
      <c r="M32" s="1005"/>
      <c r="N32" s="1006">
        <f aca="true" t="shared" si="14" ref="N32:N46">IF(ISERROR(CQ32),"",IF(AND(H32&lt;&gt;1,L32&gt;0,J32="volume + strength",L32&lt;100),"N/A",IF(BI32="x",1,IF(AND($C$6,$S$7,L32&gt;0,J32="volume + strength",CQ32&gt;0),CQ32,IF(AND($C$6,L32&gt;0,$J$11&gt;0,$J$10&lt;12,P32&gt;0,NOT(P32="x")),((P32/$J$11/12)-1)*L32+1,IF(AND($J$11&gt;0,J32="eru volume",L32&gt;0,P32&gt;0,NOT(P32="x")),CR32,IF(AND(CQ32&lt;=1,L32&gt;0),CQ32,"")))))))</f>
      </c>
      <c r="O32" s="1007"/>
      <c r="P32" s="1020"/>
      <c r="Q32" s="1021"/>
      <c r="R32" s="993"/>
      <c r="S32" s="993"/>
      <c r="T32" s="980">
        <f t="shared" si="0"/>
      </c>
      <c r="U32" s="981"/>
      <c r="AA32" s="157"/>
      <c r="AB32" s="178">
        <f t="shared" si="1"/>
        <v>0</v>
      </c>
      <c r="AC32" s="38">
        <f t="shared" si="2"/>
        <v>0</v>
      </c>
      <c r="AD32" s="85">
        <f>IF($S$7,P32,0)</f>
        <v>0</v>
      </c>
      <c r="AE32" s="36">
        <f>IF(AND(H32&gt;0,P32="x"),H32,0)</f>
        <v>0</v>
      </c>
      <c r="AF32" s="36"/>
      <c r="AG32" s="92">
        <f>IF(AND(C7=FALSE,S7),"Gallons in Period","")</f>
      </c>
      <c r="AH32" s="92"/>
      <c r="AI32" s="91"/>
      <c r="AJ32" s="91"/>
      <c r="AK32" s="257"/>
      <c r="AL32" s="258">
        <f>IF(BT19&gt;0,AK29+BT19,IF(BT19="",AK29+J13,IF(BT19=0,AK29)))</f>
        <v>0</v>
      </c>
      <c r="AM32" s="258">
        <f>IF(AND(BT16&gt;0,BT19=0),AK29+(BT16*J13),IF(AND(BT16=0,BT19=0),AK29+J13,IF(AND(BT16&gt;0,BT19&gt;0),AK29+(BT16*BT19),IF(AND(BT16=0,BT19&gt;0),AK29+BT19))))</f>
        <v>0</v>
      </c>
      <c r="AN32" s="259">
        <f>IF(AND(R11&gt;BT12,AO15=0),BT12/1000*J24,0)</f>
        <v>0</v>
      </c>
      <c r="AO32" s="259">
        <f>IF(AND(AP32=0,AQ32=0,R11&gt;0,BT12&gt;=R11),R11/1000*J24*BT10,0)</f>
        <v>0</v>
      </c>
      <c r="AP32" s="260">
        <f>IF(AND(AQ32=0,R11&gt;0,BT12&gt;=BT16*R11),BT16*R11/1000*J24,0)</f>
        <v>0</v>
      </c>
      <c r="AQ32" s="261">
        <f>IF(AND(C7=FALSE,BT14="Units Assigned",BT16&gt;0,R11&gt;0,BT12&gt;BT16*R11),R11/1000*BT16*J24,0)</f>
        <v>0</v>
      </c>
      <c r="AR32" s="177">
        <f t="shared" si="3"/>
        <v>0</v>
      </c>
      <c r="AS32" s="177" t="b">
        <f>OR(P32="a",P32="b",P32="c",P32="d",P32="e",P32="f",P32="g",P32="H",P32="I",P32="j",P32="k",P32="l",P32="m",P32="n",P32="o",P32="p",P32="q",P32="r",P32="s",P32="t",P32="u",P32="v",P32="w",P32="y",P32="z")</f>
        <v>0</v>
      </c>
      <c r="AT32"/>
      <c r="AU32"/>
      <c r="AV32"/>
      <c r="AW32"/>
      <c r="AX32"/>
      <c r="BA32"/>
      <c r="BB32"/>
      <c r="BC32"/>
      <c r="BD32"/>
      <c r="BE32"/>
      <c r="BF32" s="504">
        <f>IF(J32=0,0,IF(P32="x","",IF(AND($C$6,$J$11&gt;0,P32&gt;0,NOT(P32="x"),((((P32/12/$J$11)-H32)*L32)+H32)&gt;1),(((P32/12/$J$11)-H32)*L32)+H32,IF(AND($C$6,$J$11&gt;0,P32&gt;0,NOT(P32="x")),P32/12/$J$11,IF(AND($J$11&gt;0,P32&gt;0,NOT(P32="x")),P32/$J$10/$J$11,0)))))</f>
        <v>0</v>
      </c>
      <c r="BG32" s="273"/>
      <c r="BI32" s="271">
        <f t="shared" si="4"/>
      </c>
      <c r="BJ32" s="35">
        <f aca="true" t="shared" si="15" ref="BJ32:BJ46">IF(J32="volume + Strength",1,0)</f>
        <v>0</v>
      </c>
      <c r="BK32" s="35"/>
      <c r="BL32" s="149">
        <f aca="true" t="shared" si="16" ref="BL32:BL46">IF(AND($C$6,P32="x",R32&gt;0),H32*R32,IF(AND($C$6,P32="x"),H32*$J$13,IF(AND($C$6,$C$7,NOT(P32=0),H32&gt;0,R32=0),(H32*$J$13)+((P32/12/100)*$J$24),IF(AND($C$6,$C$7,NOT(P32=0),H32&gt;0,R32&gt;0),(H32*R32)+((P32/12/100)*$J$24),IF(AND($C$6,H32&gt;0,NOT(P32=0),R32=0),(H32*$J$13)+((P32/12/1000)*$J$24),IF(AND($C$6,H32&gt;0,NOT(P32=0),R32&gt;0),(H32*R32)+((P32/12/1000)*$J$24),0))))))</f>
        <v>0</v>
      </c>
      <c r="BM32" s="149">
        <f aca="true" t="shared" si="17" ref="BM32:BM46">IF(AND(P32=0,R32=0),0,IF(AND(P32=0,R32&gt;0,R32&gt;$J$13),H32*(R32-$J$13),IF(AND(P32=0,R32&gt;0,R32&lt;$J$13),-(H32*($J$13-R32)),IF(R32=0,H32*$J$13,IF(R32&gt;0,H32*R32)))))</f>
        <v>0</v>
      </c>
      <c r="BN32" s="35">
        <f aca="true" t="shared" si="18" ref="BN32:BN46">IF(J32="Volume + Strength",1,0)</f>
        <v>0</v>
      </c>
      <c r="BO32" s="35"/>
      <c r="BP32" s="35"/>
      <c r="BT32" s="516">
        <f aca="true" t="shared" si="19" ref="BT32:BT46">IF(AND($C$6,H32&gt;0,R32&gt;0),H32*R32*12,IF(AND($C$6,H32&gt;0),H32*$J$13*12,IF(AND(H32&gt;0,R32&gt;0),H32*R32*$J$10,IF(H32&gt;0,H32*$J$13*$J$10,""))))</f>
      </c>
      <c r="BU32" s="948">
        <f t="shared" si="5"/>
      </c>
      <c r="BV32" s="948"/>
      <c r="BW32" s="517">
        <f t="shared" si="6"/>
      </c>
      <c r="BX32" s="517">
        <f t="shared" si="7"/>
      </c>
      <c r="BY32" s="518">
        <f aca="true" t="shared" si="20" ref="BY32:BY46">IF(P32="x","",IF(OR(AND($J$9=0,H32&gt;0),AND(L32&gt;0,N32=""),N32="&lt;1"),"N/A",IF(AND(H32&gt;0,L32&gt;0,NOT(N32="Check Svc Chgs!")),CEILING(((N32-H32)*$J$13)+(H32*$J$13),0.01),"")))</f>
      </c>
      <c r="BZ32" s="515">
        <f aca="true" t="shared" si="21" ref="BZ32:BZ46">IF(NOT(CF32=""),(CF32/12),"")</f>
      </c>
      <c r="CB32" s="597"/>
      <c r="CC32" s="597"/>
      <c r="CD32" s="597"/>
      <c r="CE32" s="597"/>
      <c r="CF32" s="617">
        <f aca="true" t="shared" si="22" ref="CF32:CF46">IF(SUM(CG32:CJ32)&gt;0,SUM(CG32:CJ32),"")</f>
      </c>
      <c r="CG32" s="625">
        <f aca="true" t="shared" si="23" ref="CG32:CG45">IF(CK32="","",IF(AND(NOT($CB$27=""),NOT(CB32=0)),CK32*$CB$27,""))</f>
      </c>
      <c r="CH32" s="625">
        <f aca="true" t="shared" si="24" ref="CH32:CH45">IF(CL32="","",IF(AND(NOT($CC$27=""),NOT(CC32=0)),CL32*$CC$27,""))</f>
      </c>
      <c r="CI32" s="625">
        <f aca="true" t="shared" si="25" ref="CI32:CI45">IF(CM32="","",IF(AND(NOT($CD$27=""),NOT(CD32=0)),CM32*$CD$27,""))</f>
      </c>
      <c r="CJ32" s="625">
        <f aca="true" t="shared" si="26" ref="CJ32:CJ45">IF(CN32="","",IF(AND(NOT($CE$27=""),NOT(CE32=0)),CN32*$CE$27,""))</f>
      </c>
      <c r="CK32" s="626">
        <f t="shared" si="8"/>
      </c>
      <c r="CL32" s="626">
        <f t="shared" si="9"/>
      </c>
      <c r="CM32" s="626">
        <f t="shared" si="10"/>
      </c>
      <c r="CN32" s="626">
        <f t="shared" si="11"/>
      </c>
      <c r="CO32" s="516">
        <f t="shared" si="12"/>
        <v>0</v>
      </c>
      <c r="CP32" s="516">
        <f t="shared" si="13"/>
        <v>0</v>
      </c>
      <c r="CQ32" s="504">
        <f aca="true" t="shared" si="27" ref="CQ32:CQ46">IF(H32&gt;1,"N/A",IF(OR(J32=0,J32="ERU Volume"),"",IF(P32="x","",IF(AND($C$6,$J$11&gt;0,P32&gt;0,NOT(P32="x"),((((P32/12/$J$11)-H32)*L32)+H32)&gt;1),(((P32/12/$J$11)-H32)*L32)+H32,IF(AND($C$6,$J$11&gt;0,P32&gt;0,NOT(P32="x")),P32/12/$J$11,IF(AND($J$11&gt;0,P32&gt;0,NOT(P32="x")),P32/$J$10/$J$11,0))))))</f>
      </c>
      <c r="CR32" s="271">
        <f aca="true" t="shared" si="28" ref="CR32:CR46">IF(J32=0,"",IF(P32="x","",IF(AND($C$6,$J$11&gt;0,P32&gt;0,NOT(P32="x"),((((P32/12/$J$11)-H32)*L32)+H32)&gt;1),(((P32/12/$J$11)-H32)*L32)+H32,IF(AND($C$6,$J$11&gt;0,P32&gt;0,NOT(P32="x")),P32/12/$J$11,IF(AND($J$11&gt;0,P32&gt;0,NOT(P32="x"),((((P32/$J$10/$J$11)-H32)*L32)+H32)&gt;1),(((P32/$J$10/$J$11)-H32)*L32)+H32,IF(AND($J$11&gt;0,P32&gt;0,NOT(P32="x"),((((P32/$J$10/$J$11)-H32)*L32)+H32)&lt;1),"&lt;1"))))))</f>
      </c>
    </row>
    <row r="33" spans="1:96" ht="20.25" customHeight="1">
      <c r="A33" s="1036"/>
      <c r="B33" s="1037"/>
      <c r="C33" s="1037"/>
      <c r="D33" s="1037"/>
      <c r="E33" s="1037"/>
      <c r="F33" s="1037"/>
      <c r="G33" s="1038"/>
      <c r="H33" s="1044"/>
      <c r="I33" s="1045"/>
      <c r="J33" s="1039"/>
      <c r="K33" s="1040"/>
      <c r="L33" s="1004"/>
      <c r="M33" s="1005"/>
      <c r="N33" s="1006">
        <f t="shared" si="14"/>
      </c>
      <c r="O33" s="1007"/>
      <c r="P33" s="1020"/>
      <c r="Q33" s="1021"/>
      <c r="R33" s="993"/>
      <c r="S33" s="993"/>
      <c r="T33" s="980">
        <f t="shared" si="0"/>
      </c>
      <c r="U33" s="981"/>
      <c r="AA33" s="157"/>
      <c r="AB33" s="178">
        <f t="shared" si="1"/>
        <v>0</v>
      </c>
      <c r="AC33" s="38">
        <f t="shared" si="2"/>
        <v>0</v>
      </c>
      <c r="AD33" s="85">
        <f aca="true" t="shared" si="29" ref="AD33:AD46">IF($S$7,P33,0)</f>
        <v>0</v>
      </c>
      <c r="AE33" s="36">
        <f aca="true" t="shared" si="30" ref="AE33:AE46">IF(AND(H33&gt;0,P33="x"),H33,0)</f>
        <v>0</v>
      </c>
      <c r="AF33" s="36"/>
      <c r="AG33" s="87"/>
      <c r="AH33" s="87"/>
      <c r="AI33" s="93"/>
      <c r="AJ33" s="93"/>
      <c r="AK33" s="94"/>
      <c r="AL33" s="93"/>
      <c r="AM33" s="93"/>
      <c r="AN33" s="93" t="s">
        <v>33</v>
      </c>
      <c r="AO33" s="93" t="s">
        <v>34</v>
      </c>
      <c r="AP33" s="93" t="s">
        <v>35</v>
      </c>
      <c r="AQ33" s="252" t="s">
        <v>36</v>
      </c>
      <c r="AR33" s="177">
        <f t="shared" si="3"/>
        <v>0</v>
      </c>
      <c r="AS33" s="177" t="b">
        <f aca="true" t="shared" si="31" ref="AS33:AS46">OR(P33="a",P33="b",P33="c",P33="d",P33="e",P33="f",P33="g",P33="H",P33="I",P33="j",P33="k",P33="l",P33="m",P33="n",P33="o",P33="p",P33="q",P33="r",P33="s",P33="t",P33="u",P33="v",P33="w",P33="y",P33="z")</f>
        <v>0</v>
      </c>
      <c r="AT33"/>
      <c r="AU33"/>
      <c r="AV33"/>
      <c r="AW33"/>
      <c r="AX33"/>
      <c r="BA33"/>
      <c r="BB33"/>
      <c r="BC33"/>
      <c r="BD33"/>
      <c r="BE33"/>
      <c r="BF33" s="504">
        <f>IF(J33=0,0,IF(P33="x","",IF(AND($C$6,$J$11&gt;0,P33&gt;0,NOT(P33="x"),((((P33/12/$J$11)-H33)*L33)+H33)&gt;1),(((P33/12/$J$11)-H33)*L33)+H33,IF(AND($C$6,$J$11&gt;0,P33&gt;0,NOT(P33="x")),P33/12/$J$11,IF(AND($J$11&gt;0,P33&gt;0,NOT(P33="x")),P33/$J$10/$J$11,0)))))</f>
        <v>0</v>
      </c>
      <c r="BG33" s="273"/>
      <c r="BI33" s="271">
        <f t="shared" si="4"/>
      </c>
      <c r="BJ33" s="35">
        <f t="shared" si="15"/>
        <v>0</v>
      </c>
      <c r="BK33" s="35"/>
      <c r="BL33" s="149">
        <f t="shared" si="16"/>
        <v>0</v>
      </c>
      <c r="BM33" s="149">
        <f t="shared" si="17"/>
        <v>0</v>
      </c>
      <c r="BN33" s="35">
        <f t="shared" si="18"/>
        <v>0</v>
      </c>
      <c r="BO33" s="35"/>
      <c r="BP33" s="35"/>
      <c r="BT33" s="516">
        <f t="shared" si="19"/>
      </c>
      <c r="BU33" s="948">
        <f t="shared" si="5"/>
      </c>
      <c r="BV33" s="948"/>
      <c r="BW33" s="517">
        <f t="shared" si="6"/>
      </c>
      <c r="BX33" s="517">
        <f t="shared" si="7"/>
      </c>
      <c r="BY33" s="518">
        <f t="shared" si="20"/>
      </c>
      <c r="BZ33" s="515">
        <f t="shared" si="21"/>
      </c>
      <c r="CB33" s="597"/>
      <c r="CC33" s="597"/>
      <c r="CD33" s="597"/>
      <c r="CE33" s="597"/>
      <c r="CF33" s="617">
        <f t="shared" si="22"/>
      </c>
      <c r="CG33" s="625">
        <f t="shared" si="23"/>
      </c>
      <c r="CH33" s="625">
        <f t="shared" si="24"/>
      </c>
      <c r="CI33" s="625">
        <f t="shared" si="25"/>
      </c>
      <c r="CJ33" s="625">
        <f t="shared" si="26"/>
      </c>
      <c r="CK33" s="626">
        <f t="shared" si="8"/>
      </c>
      <c r="CL33" s="626">
        <f t="shared" si="9"/>
      </c>
      <c r="CM33" s="626">
        <f t="shared" si="10"/>
      </c>
      <c r="CN33" s="626">
        <f t="shared" si="11"/>
      </c>
      <c r="CO33" s="516">
        <f t="shared" si="12"/>
        <v>0</v>
      </c>
      <c r="CP33" s="516">
        <f t="shared" si="13"/>
        <v>0</v>
      </c>
      <c r="CQ33" s="504">
        <f t="shared" si="27"/>
      </c>
      <c r="CR33" s="271">
        <f t="shared" si="28"/>
      </c>
    </row>
    <row r="34" spans="1:96" ht="20.25" customHeight="1" thickBot="1">
      <c r="A34" s="1036"/>
      <c r="B34" s="1037"/>
      <c r="C34" s="1037"/>
      <c r="D34" s="1037"/>
      <c r="E34" s="1037"/>
      <c r="F34" s="1037"/>
      <c r="G34" s="1038"/>
      <c r="H34" s="1044"/>
      <c r="I34" s="1045"/>
      <c r="J34" s="1039"/>
      <c r="K34" s="1040"/>
      <c r="L34" s="1004"/>
      <c r="M34" s="1005"/>
      <c r="N34" s="1006">
        <f t="shared" si="14"/>
      </c>
      <c r="O34" s="1007"/>
      <c r="P34" s="1020"/>
      <c r="Q34" s="1021"/>
      <c r="R34" s="993"/>
      <c r="S34" s="993"/>
      <c r="T34" s="980">
        <f t="shared" si="0"/>
      </c>
      <c r="U34" s="981"/>
      <c r="AA34" s="157"/>
      <c r="AB34" s="178">
        <f t="shared" si="1"/>
        <v>0</v>
      </c>
      <c r="AC34" s="38">
        <f t="shared" si="2"/>
        <v>0</v>
      </c>
      <c r="AD34" s="85">
        <f t="shared" si="29"/>
        <v>0</v>
      </c>
      <c r="AE34" s="36">
        <f t="shared" si="30"/>
        <v>0</v>
      </c>
      <c r="AF34" s="36"/>
      <c r="AG34" s="95"/>
      <c r="AH34" s="95"/>
      <c r="AI34" s="96" t="e">
        <f>IF(AND($C$7=FALSE,P31&gt;=(H31*$R$11*$J$10)),(((P31/$J$10)-(H31*$R$11))/1000*$J$24)+(AH35/$J$10)+(H31*$J$13))</f>
        <v>#DIV/0!</v>
      </c>
      <c r="AJ34" s="97"/>
      <c r="AK34" s="98" t="s">
        <v>37</v>
      </c>
      <c r="AL34" s="99">
        <f>IF(AND(J22=0,C7=FALSE),AM32-SUM(AP32,AQ32),IF(AND(J22=0,C7),AM31-SUM(AP31,AQ31),IF(AND(J22&gt;0,C7=FALSE),AL32,IF(AND(C7,J22&gt;0),AL31))))</f>
        <v>0</v>
      </c>
      <c r="AM34" s="180"/>
      <c r="AN34" s="180"/>
      <c r="AO34" s="100"/>
      <c r="AP34" s="100"/>
      <c r="AQ34" s="101"/>
      <c r="AR34" s="177">
        <f t="shared" si="3"/>
        <v>0</v>
      </c>
      <c r="AS34" s="177" t="b">
        <f t="shared" si="31"/>
        <v>0</v>
      </c>
      <c r="AT34"/>
      <c r="AU34"/>
      <c r="AV34"/>
      <c r="AW34"/>
      <c r="AX34"/>
      <c r="BA34"/>
      <c r="BB34"/>
      <c r="BC34"/>
      <c r="BD34"/>
      <c r="BE34"/>
      <c r="BF34" s="504">
        <f>IF(J34=0,0,IF(P34="x","",IF(AND($C$6,$J$11&gt;0,P34&gt;0,NOT(P34="x"),((((P34/12/$J$11)-H34)*L34)+H34)&gt;1),(((P34/12/$J$11)-H34)*L34)+H34,IF(AND($C$6,$J$11&gt;0,P34&gt;0,NOT(P34="x")),P34/12/$J$11,IF(AND($J$11&gt;0,P34&gt;0,NOT(P34="x")),P34/$J$10/$J$11,0)))))</f>
        <v>0</v>
      </c>
      <c r="BG34" s="273"/>
      <c r="BI34" s="271">
        <f t="shared" si="4"/>
      </c>
      <c r="BJ34" s="35">
        <f t="shared" si="15"/>
        <v>0</v>
      </c>
      <c r="BK34" s="35"/>
      <c r="BL34" s="149">
        <f t="shared" si="16"/>
        <v>0</v>
      </c>
      <c r="BM34" s="149">
        <f t="shared" si="17"/>
        <v>0</v>
      </c>
      <c r="BN34" s="35">
        <f t="shared" si="18"/>
        <v>0</v>
      </c>
      <c r="BO34" s="35"/>
      <c r="BP34" s="35"/>
      <c r="BT34" s="516">
        <f t="shared" si="19"/>
      </c>
      <c r="BU34" s="948">
        <f t="shared" si="5"/>
      </c>
      <c r="BV34" s="948"/>
      <c r="BW34" s="517">
        <f t="shared" si="6"/>
      </c>
      <c r="BX34" s="517">
        <f t="shared" si="7"/>
      </c>
      <c r="BY34" s="518">
        <f t="shared" si="20"/>
      </c>
      <c r="BZ34" s="515">
        <f t="shared" si="21"/>
      </c>
      <c r="CB34" s="597"/>
      <c r="CC34" s="597"/>
      <c r="CD34" s="597"/>
      <c r="CE34" s="597"/>
      <c r="CF34" s="617">
        <f t="shared" si="22"/>
      </c>
      <c r="CG34" s="625">
        <f t="shared" si="23"/>
      </c>
      <c r="CH34" s="625">
        <f t="shared" si="24"/>
      </c>
      <c r="CI34" s="625">
        <f t="shared" si="25"/>
      </c>
      <c r="CJ34" s="625">
        <f t="shared" si="26"/>
      </c>
      <c r="CK34" s="626">
        <f t="shared" si="8"/>
      </c>
      <c r="CL34" s="626">
        <f t="shared" si="9"/>
      </c>
      <c r="CM34" s="626">
        <f t="shared" si="10"/>
      </c>
      <c r="CN34" s="626">
        <f t="shared" si="11"/>
      </c>
      <c r="CO34" s="516">
        <f t="shared" si="12"/>
        <v>0</v>
      </c>
      <c r="CP34" s="516">
        <f t="shared" si="13"/>
        <v>0</v>
      </c>
      <c r="CQ34" s="504">
        <f t="shared" si="27"/>
      </c>
      <c r="CR34" s="271">
        <f t="shared" si="28"/>
      </c>
    </row>
    <row r="35" spans="1:96" ht="20.25" customHeight="1">
      <c r="A35" s="1036"/>
      <c r="B35" s="1037"/>
      <c r="C35" s="1037"/>
      <c r="D35" s="1037"/>
      <c r="E35" s="1037"/>
      <c r="F35" s="1037"/>
      <c r="G35" s="1038"/>
      <c r="H35" s="1044"/>
      <c r="I35" s="1045"/>
      <c r="J35" s="1039"/>
      <c r="K35" s="1040"/>
      <c r="L35" s="1004"/>
      <c r="M35" s="1005"/>
      <c r="N35" s="1006">
        <f t="shared" si="14"/>
      </c>
      <c r="O35" s="1007"/>
      <c r="P35" s="1020"/>
      <c r="Q35" s="1021"/>
      <c r="R35" s="991"/>
      <c r="S35" s="992"/>
      <c r="T35" s="980">
        <f t="shared" si="0"/>
      </c>
      <c r="U35" s="981"/>
      <c r="AA35" s="157"/>
      <c r="AB35" s="178">
        <f t="shared" si="1"/>
        <v>0</v>
      </c>
      <c r="AC35" s="38">
        <f t="shared" si="2"/>
        <v>0</v>
      </c>
      <c r="AD35" s="85">
        <f t="shared" si="29"/>
        <v>0</v>
      </c>
      <c r="AE35" s="36">
        <f t="shared" si="30"/>
        <v>0</v>
      </c>
      <c r="AF35" s="45" t="s">
        <v>38</v>
      </c>
      <c r="AG35" s="45"/>
      <c r="AH35" s="59">
        <f aca="true" t="shared" si="32" ref="AH35:AH50">IF(AND(H31&gt;0,R31&gt;0,NOT(R31=$J$13)),(R31-$J$13)*H31*$J$10,0)</f>
        <v>0</v>
      </c>
      <c r="AI35" s="181" t="e">
        <f aca="true" t="shared" si="33" ref="AI35:AI50">IF(AND(P31="x",R31&gt;0),R31*H31,IF(AND(P31="x",R31=0),H31*$J$13,IF(AND($C$7,P31&gt;=(H31*$R$11*$J$10)),(((P31/$J$10)-(H31*$R$11))/100*$J$24)+(AH35/$J$10)+(H31*$J$13),IF(AND($C$7,P31&lt;(H31*$R$11*$J$10),R31=0),H31*$J$13,IF(AND($C$7,P31&lt;(H31*$R$11*$J$10),R31&gt;0),H31*R31,IF(AND($C$7=FALSE,P31&gt;=(H31*$R$11*$J$10)),(((P31/$J$10)-(H31*$R$11))/1000*$J$24)+(AH35/$J$10)+(H31*$J$13),IF(AND($C$7=FALSE,P31&lt;(H31*$R$11*$J$10),R31=0),H31*$J$13,AK35)))))))</f>
        <v>#DIV/0!</v>
      </c>
      <c r="AJ35" s="181">
        <f>IF(AND(P31="x",R31&gt;0),R31*H31,IF(AND(P31="x",R31=0),H31*$J$13,0))</f>
        <v>0</v>
      </c>
      <c r="AK35" s="59">
        <f aca="true" t="shared" si="34" ref="AK35:AK50">IF(AND($C$7=FALSE,P31&lt;(H31*$R$11*$J$10),R31&gt;0),H31*R31,0)</f>
        <v>0</v>
      </c>
      <c r="AL35" s="45"/>
      <c r="AM35" s="45"/>
      <c r="AN35" s="45"/>
      <c r="AO35" s="45"/>
      <c r="AP35" s="45"/>
      <c r="AQ35" s="45"/>
      <c r="AR35" s="177">
        <f t="shared" si="3"/>
        <v>0</v>
      </c>
      <c r="AS35" s="177" t="b">
        <f t="shared" si="31"/>
        <v>0</v>
      </c>
      <c r="AT35"/>
      <c r="AU35" s="581"/>
      <c r="AV35" s="581"/>
      <c r="AW35" s="581"/>
      <c r="AX35" s="581"/>
      <c r="AZ35" s="84"/>
      <c r="BA35" s="154">
        <f aca="true" t="shared" si="35" ref="BA35:BA45">IF(AND($J35="volume + strength",AU35&gt;0,AU35&gt;$AU$30),CEILING((AU35-$AU$30)/$AU$30,0.01),"")</f>
      </c>
      <c r="BB35" s="154">
        <f aca="true" t="shared" si="36" ref="BB35:BB45">IF(AND($J35="volume + strength",AV35&gt;0,AV35&gt;$AV$30),CEILING((AV35-$AV$30)/$AV$30,0.01),"")</f>
      </c>
      <c r="BC35" s="154">
        <f aca="true" t="shared" si="37" ref="BC35:BC45">IF(AND($J35="volume + strength",AW35&gt;0,AW35&gt;$AW$30),CEILING((AW35-$AW$30)/$AW$30,0.01),"")</f>
      </c>
      <c r="BD35" s="154">
        <f aca="true" t="shared" si="38" ref="BD35:BD45">IF(AND($J35="volume + strength",AX35&gt;0,AX35&gt;$AX$30),CEILING((AX35-$AX$30)/$AX$30,0.01),"")</f>
      </c>
      <c r="BE35" s="504">
        <f aca="true" t="shared" si="39" ref="BE35:BE45">IF(AND(J35="Volume + Strength",MAXA(BA35:BD35)&gt;0),MAXA(BA35:BD35)*$BF35*$AY$30,"")</f>
      </c>
      <c r="BF35" s="504">
        <f aca="true" t="shared" si="40" ref="BF35:BF45">IF(J35=0,0,IF(P35="x","",IF(AND($C$6,$J$11&gt;0,P35&gt;0,NOT(P35="x"),((((P35/12/$J$11)-H35)*L35)+H35)&gt;1),(((P35/12/$J$11)-H35)*L35)+H35,IF(AND($C$6,$J$11&gt;0,P35&gt;0,NOT(P35="x")),P35/12/$J$11,IF(AND($J$11&gt;0,P35&gt;0,NOT(P35="x")),P35/$J$10/$J$11,0)))))</f>
        <v>0</v>
      </c>
      <c r="BG35" s="273"/>
      <c r="BI35" s="271">
        <f t="shared" si="4"/>
      </c>
      <c r="BJ35" s="35">
        <f t="shared" si="15"/>
        <v>0</v>
      </c>
      <c r="BK35" s="35"/>
      <c r="BL35" s="149">
        <f t="shared" si="16"/>
        <v>0</v>
      </c>
      <c r="BM35" s="149">
        <f t="shared" si="17"/>
        <v>0</v>
      </c>
      <c r="BN35" s="35">
        <f t="shared" si="18"/>
        <v>0</v>
      </c>
      <c r="BO35" s="35"/>
      <c r="BP35" s="35"/>
      <c r="BT35" s="516">
        <f t="shared" si="19"/>
      </c>
      <c r="BU35" s="948">
        <f t="shared" si="5"/>
      </c>
      <c r="BV35" s="948"/>
      <c r="BW35" s="517">
        <f t="shared" si="6"/>
      </c>
      <c r="BX35" s="517">
        <f t="shared" si="7"/>
      </c>
      <c r="BY35" s="518">
        <f t="shared" si="20"/>
      </c>
      <c r="BZ35" s="515">
        <f t="shared" si="21"/>
      </c>
      <c r="CB35" s="597"/>
      <c r="CC35" s="597"/>
      <c r="CD35" s="597"/>
      <c r="CE35" s="597"/>
      <c r="CF35" s="617">
        <f t="shared" si="22"/>
      </c>
      <c r="CG35" s="625">
        <f t="shared" si="23"/>
      </c>
      <c r="CH35" s="625">
        <f t="shared" si="24"/>
      </c>
      <c r="CI35" s="625">
        <f t="shared" si="25"/>
      </c>
      <c r="CJ35" s="625">
        <f t="shared" si="26"/>
      </c>
      <c r="CK35" s="626">
        <f t="shared" si="8"/>
      </c>
      <c r="CL35" s="626">
        <f t="shared" si="9"/>
      </c>
      <c r="CM35" s="626">
        <f t="shared" si="10"/>
      </c>
      <c r="CN35" s="626">
        <f t="shared" si="11"/>
      </c>
      <c r="CO35" s="516">
        <f t="shared" si="12"/>
        <v>0</v>
      </c>
      <c r="CP35" s="516">
        <f t="shared" si="13"/>
        <v>0</v>
      </c>
      <c r="CQ35" s="504">
        <f t="shared" si="27"/>
      </c>
      <c r="CR35" s="271">
        <f t="shared" si="28"/>
      </c>
    </row>
    <row r="36" spans="1:96" ht="25.5" customHeight="1">
      <c r="A36" s="1036"/>
      <c r="B36" s="1037"/>
      <c r="C36" s="1037"/>
      <c r="D36" s="1037"/>
      <c r="E36" s="1037"/>
      <c r="F36" s="1037"/>
      <c r="G36" s="1038"/>
      <c r="H36" s="1044"/>
      <c r="I36" s="1045"/>
      <c r="J36" s="1039"/>
      <c r="K36" s="1040"/>
      <c r="L36" s="1004"/>
      <c r="M36" s="1005"/>
      <c r="N36" s="1006">
        <f t="shared" si="14"/>
      </c>
      <c r="O36" s="1007"/>
      <c r="P36" s="1020"/>
      <c r="Q36" s="1021"/>
      <c r="R36" s="991"/>
      <c r="S36" s="992"/>
      <c r="T36" s="980">
        <f t="shared" si="0"/>
      </c>
      <c r="U36" s="981"/>
      <c r="AA36" s="157"/>
      <c r="AB36" s="178">
        <f t="shared" si="1"/>
        <v>0</v>
      </c>
      <c r="AC36" s="38">
        <f t="shared" si="2"/>
        <v>0</v>
      </c>
      <c r="AD36" s="85">
        <f t="shared" si="29"/>
        <v>0</v>
      </c>
      <c r="AE36" s="36">
        <f t="shared" si="30"/>
        <v>0</v>
      </c>
      <c r="AF36" s="45" t="s">
        <v>39</v>
      </c>
      <c r="AG36" s="59">
        <f>+SUM(AH35:AH50)</f>
        <v>0</v>
      </c>
      <c r="AH36" s="59">
        <f t="shared" si="32"/>
        <v>0</v>
      </c>
      <c r="AI36" s="181" t="e">
        <f t="shared" si="33"/>
        <v>#DIV/0!</v>
      </c>
      <c r="AJ36" s="181">
        <f>IF(AND($C$7,P31&gt;=(H31*$R$11*$J$10)),(((P31/$J$10)-(H31*$R$11))/100*$J$24)+(AH35/$J$10)+(H31*$J$13),0)</f>
        <v>0</v>
      </c>
      <c r="AK36" s="59">
        <f t="shared" si="34"/>
        <v>0</v>
      </c>
      <c r="AL36" s="45"/>
      <c r="AM36" s="45"/>
      <c r="AN36" s="45"/>
      <c r="AO36" s="45"/>
      <c r="AP36" s="45"/>
      <c r="AQ36" s="45"/>
      <c r="AR36" s="177">
        <f t="shared" si="3"/>
        <v>0</v>
      </c>
      <c r="AS36" s="177" t="b">
        <f t="shared" si="31"/>
        <v>0</v>
      </c>
      <c r="AT36"/>
      <c r="AU36" s="581"/>
      <c r="AV36" s="581"/>
      <c r="AW36" s="581"/>
      <c r="AX36" s="581"/>
      <c r="AZ36" s="84"/>
      <c r="BA36" s="154">
        <f t="shared" si="35"/>
      </c>
      <c r="BB36" s="154">
        <f t="shared" si="36"/>
      </c>
      <c r="BC36" s="154">
        <f t="shared" si="37"/>
      </c>
      <c r="BD36" s="154">
        <f t="shared" si="38"/>
      </c>
      <c r="BE36" s="504">
        <f t="shared" si="39"/>
      </c>
      <c r="BF36" s="504">
        <f t="shared" si="40"/>
        <v>0</v>
      </c>
      <c r="BG36" s="273"/>
      <c r="BI36" s="271">
        <f t="shared" si="4"/>
      </c>
      <c r="BJ36" s="35">
        <f t="shared" si="15"/>
        <v>0</v>
      </c>
      <c r="BK36" s="35"/>
      <c r="BL36" s="149">
        <f t="shared" si="16"/>
        <v>0</v>
      </c>
      <c r="BM36" s="149">
        <f t="shared" si="17"/>
        <v>0</v>
      </c>
      <c r="BN36" s="35">
        <f t="shared" si="18"/>
        <v>0</v>
      </c>
      <c r="BO36" s="35"/>
      <c r="BP36" s="35"/>
      <c r="BT36" s="516">
        <f t="shared" si="19"/>
      </c>
      <c r="BU36" s="948">
        <f t="shared" si="5"/>
      </c>
      <c r="BV36" s="948"/>
      <c r="BW36" s="517">
        <f t="shared" si="6"/>
      </c>
      <c r="BX36" s="517">
        <f t="shared" si="7"/>
      </c>
      <c r="BY36" s="518">
        <f t="shared" si="20"/>
      </c>
      <c r="BZ36" s="515">
        <f t="shared" si="21"/>
      </c>
      <c r="CB36" s="597"/>
      <c r="CC36" s="597"/>
      <c r="CD36" s="597"/>
      <c r="CE36" s="597"/>
      <c r="CF36" s="617">
        <f t="shared" si="22"/>
      </c>
      <c r="CG36" s="625">
        <f t="shared" si="23"/>
      </c>
      <c r="CH36" s="625">
        <f t="shared" si="24"/>
      </c>
      <c r="CI36" s="625">
        <f t="shared" si="25"/>
      </c>
      <c r="CJ36" s="625">
        <f t="shared" si="26"/>
      </c>
      <c r="CK36" s="626">
        <f t="shared" si="8"/>
      </c>
      <c r="CL36" s="626">
        <f t="shared" si="9"/>
      </c>
      <c r="CM36" s="626">
        <f t="shared" si="10"/>
      </c>
      <c r="CN36" s="626">
        <f t="shared" si="11"/>
      </c>
      <c r="CO36" s="516">
        <f t="shared" si="12"/>
        <v>0</v>
      </c>
      <c r="CP36" s="516">
        <f t="shared" si="13"/>
        <v>0</v>
      </c>
      <c r="CQ36" s="504">
        <f t="shared" si="27"/>
      </c>
      <c r="CR36" s="271">
        <f t="shared" si="28"/>
      </c>
    </row>
    <row r="37" spans="1:96" ht="20.25" customHeight="1">
      <c r="A37" s="1036"/>
      <c r="B37" s="1037"/>
      <c r="C37" s="1037"/>
      <c r="D37" s="1037"/>
      <c r="E37" s="1037"/>
      <c r="F37" s="1037"/>
      <c r="G37" s="1038"/>
      <c r="H37" s="1011"/>
      <c r="I37" s="1012"/>
      <c r="J37" s="1039"/>
      <c r="K37" s="1040"/>
      <c r="L37" s="1004"/>
      <c r="M37" s="1005"/>
      <c r="N37" s="1006">
        <f t="shared" si="14"/>
      </c>
      <c r="O37" s="1007"/>
      <c r="P37" s="1013"/>
      <c r="Q37" s="1012"/>
      <c r="R37" s="991"/>
      <c r="S37" s="992"/>
      <c r="T37" s="980">
        <f t="shared" si="0"/>
      </c>
      <c r="U37" s="981"/>
      <c r="AA37" s="157"/>
      <c r="AB37" s="178">
        <f t="shared" si="1"/>
        <v>0</v>
      </c>
      <c r="AC37" s="38">
        <f t="shared" si="2"/>
        <v>0</v>
      </c>
      <c r="AD37" s="85">
        <f t="shared" si="29"/>
        <v>0</v>
      </c>
      <c r="AE37" s="36">
        <f t="shared" si="30"/>
        <v>0</v>
      </c>
      <c r="AF37" s="45"/>
      <c r="AG37" s="45"/>
      <c r="AH37" s="59">
        <f t="shared" si="32"/>
        <v>0</v>
      </c>
      <c r="AI37" s="181" t="e">
        <f t="shared" si="33"/>
        <v>#DIV/0!</v>
      </c>
      <c r="AJ37" s="59">
        <f>IF(AND($C$7,P31&lt;(H31*$R$11*$J$10),R31=0),H31*$J$13,0)</f>
        <v>0</v>
      </c>
      <c r="AK37" s="59">
        <f t="shared" si="34"/>
        <v>0</v>
      </c>
      <c r="AL37" s="45"/>
      <c r="AM37" s="45"/>
      <c r="AN37" s="45"/>
      <c r="AO37" s="45"/>
      <c r="AP37" s="45"/>
      <c r="AQ37" s="45"/>
      <c r="AR37" s="177">
        <f t="shared" si="3"/>
        <v>0</v>
      </c>
      <c r="AS37" s="177" t="b">
        <f t="shared" si="31"/>
        <v>0</v>
      </c>
      <c r="AT37"/>
      <c r="AU37" s="581"/>
      <c r="AV37" s="581"/>
      <c r="AW37" s="581"/>
      <c r="AX37" s="581"/>
      <c r="AZ37" s="84"/>
      <c r="BA37" s="154">
        <f t="shared" si="35"/>
      </c>
      <c r="BB37" s="154">
        <f t="shared" si="36"/>
      </c>
      <c r="BC37" s="154">
        <f t="shared" si="37"/>
      </c>
      <c r="BD37" s="154">
        <f t="shared" si="38"/>
      </c>
      <c r="BE37" s="504">
        <f t="shared" si="39"/>
      </c>
      <c r="BF37" s="504">
        <f t="shared" si="40"/>
        <v>0</v>
      </c>
      <c r="BG37" s="273"/>
      <c r="BI37" s="271">
        <f t="shared" si="4"/>
      </c>
      <c r="BJ37" s="35">
        <f t="shared" si="15"/>
        <v>0</v>
      </c>
      <c r="BK37" s="35"/>
      <c r="BL37" s="149">
        <f t="shared" si="16"/>
        <v>0</v>
      </c>
      <c r="BM37" s="149">
        <f t="shared" si="17"/>
        <v>0</v>
      </c>
      <c r="BN37" s="35">
        <f t="shared" si="18"/>
        <v>0</v>
      </c>
      <c r="BO37" s="35"/>
      <c r="BP37" s="35"/>
      <c r="BT37" s="516">
        <f t="shared" si="19"/>
      </c>
      <c r="BU37" s="948">
        <f t="shared" si="5"/>
      </c>
      <c r="BV37" s="948"/>
      <c r="BW37" s="517">
        <f t="shared" si="6"/>
      </c>
      <c r="BX37" s="517">
        <f t="shared" si="7"/>
      </c>
      <c r="BY37" s="518">
        <f t="shared" si="20"/>
      </c>
      <c r="BZ37" s="515">
        <f t="shared" si="21"/>
      </c>
      <c r="CB37" s="597"/>
      <c r="CC37" s="597"/>
      <c r="CD37" s="597"/>
      <c r="CE37" s="597"/>
      <c r="CF37" s="617">
        <f t="shared" si="22"/>
      </c>
      <c r="CG37" s="625">
        <f t="shared" si="23"/>
      </c>
      <c r="CH37" s="625">
        <f t="shared" si="24"/>
      </c>
      <c r="CI37" s="625">
        <f t="shared" si="25"/>
      </c>
      <c r="CJ37" s="625">
        <f t="shared" si="26"/>
      </c>
      <c r="CK37" s="626">
        <f t="shared" si="8"/>
      </c>
      <c r="CL37" s="626">
        <f t="shared" si="9"/>
      </c>
      <c r="CM37" s="626">
        <f t="shared" si="10"/>
      </c>
      <c r="CN37" s="626">
        <f t="shared" si="11"/>
      </c>
      <c r="CO37" s="516">
        <f t="shared" si="12"/>
        <v>0</v>
      </c>
      <c r="CP37" s="516">
        <f t="shared" si="13"/>
        <v>0</v>
      </c>
      <c r="CQ37" s="504">
        <f t="shared" si="27"/>
      </c>
      <c r="CR37" s="271">
        <f t="shared" si="28"/>
      </c>
    </row>
    <row r="38" spans="1:96" ht="20.25" customHeight="1">
      <c r="A38" s="1036"/>
      <c r="B38" s="1037"/>
      <c r="C38" s="1037"/>
      <c r="D38" s="1037"/>
      <c r="E38" s="1037"/>
      <c r="F38" s="1037"/>
      <c r="G38" s="1038"/>
      <c r="H38" s="1011"/>
      <c r="I38" s="1012"/>
      <c r="J38" s="1039"/>
      <c r="K38" s="1040"/>
      <c r="L38" s="1004"/>
      <c r="M38" s="1005"/>
      <c r="N38" s="1006">
        <f t="shared" si="14"/>
      </c>
      <c r="O38" s="1007"/>
      <c r="P38" s="1013"/>
      <c r="Q38" s="1012"/>
      <c r="R38" s="991"/>
      <c r="S38" s="992"/>
      <c r="T38" s="980">
        <f t="shared" si="0"/>
      </c>
      <c r="U38" s="981"/>
      <c r="Y38" s="280"/>
      <c r="AA38" s="157"/>
      <c r="AB38" s="178">
        <f t="shared" si="1"/>
        <v>0</v>
      </c>
      <c r="AC38" s="38">
        <f t="shared" si="2"/>
        <v>0</v>
      </c>
      <c r="AD38" s="85">
        <f t="shared" si="29"/>
        <v>0</v>
      </c>
      <c r="AE38" s="36">
        <f t="shared" si="30"/>
        <v>0</v>
      </c>
      <c r="AF38" s="45"/>
      <c r="AG38" s="45"/>
      <c r="AH38" s="59">
        <f t="shared" si="32"/>
        <v>0</v>
      </c>
      <c r="AI38" s="181" t="e">
        <f t="shared" si="33"/>
        <v>#DIV/0!</v>
      </c>
      <c r="AJ38" s="59">
        <f>IF(AND($C$7,P31&lt;(H31*$R$11*$J$10),R31&gt;0),H31*R31,0)</f>
        <v>0</v>
      </c>
      <c r="AK38" s="59">
        <f t="shared" si="34"/>
        <v>0</v>
      </c>
      <c r="AL38" s="76"/>
      <c r="AM38" s="76"/>
      <c r="AN38" s="76"/>
      <c r="AO38" s="76"/>
      <c r="AP38" s="76"/>
      <c r="AQ38" s="45"/>
      <c r="AR38" s="177">
        <f t="shared" si="3"/>
        <v>0</v>
      </c>
      <c r="AS38" s="177" t="b">
        <f t="shared" si="31"/>
        <v>0</v>
      </c>
      <c r="AT38"/>
      <c r="AU38" s="581"/>
      <c r="AV38" s="581"/>
      <c r="AW38" s="581"/>
      <c r="AX38" s="581"/>
      <c r="AZ38" s="84"/>
      <c r="BA38" s="154">
        <f t="shared" si="35"/>
      </c>
      <c r="BB38" s="154">
        <f t="shared" si="36"/>
      </c>
      <c r="BC38" s="154">
        <f t="shared" si="37"/>
      </c>
      <c r="BD38" s="154">
        <f t="shared" si="38"/>
      </c>
      <c r="BE38" s="504">
        <f t="shared" si="39"/>
      </c>
      <c r="BF38" s="504">
        <f t="shared" si="40"/>
        <v>0</v>
      </c>
      <c r="BG38" s="273"/>
      <c r="BI38" s="271">
        <f t="shared" si="4"/>
      </c>
      <c r="BJ38" s="35">
        <f t="shared" si="15"/>
        <v>0</v>
      </c>
      <c r="BK38" s="35"/>
      <c r="BL38" s="149">
        <f t="shared" si="16"/>
        <v>0</v>
      </c>
      <c r="BM38" s="149">
        <f t="shared" si="17"/>
        <v>0</v>
      </c>
      <c r="BN38" s="35">
        <f t="shared" si="18"/>
        <v>0</v>
      </c>
      <c r="BO38" s="35"/>
      <c r="BP38" s="35"/>
      <c r="BT38" s="516">
        <f t="shared" si="19"/>
      </c>
      <c r="BU38" s="948">
        <f t="shared" si="5"/>
      </c>
      <c r="BV38" s="948"/>
      <c r="BW38" s="517">
        <f t="shared" si="6"/>
      </c>
      <c r="BX38" s="517">
        <f t="shared" si="7"/>
      </c>
      <c r="BY38" s="518">
        <f t="shared" si="20"/>
      </c>
      <c r="BZ38" s="515">
        <f t="shared" si="21"/>
      </c>
      <c r="CB38" s="597"/>
      <c r="CC38" s="597"/>
      <c r="CD38" s="597"/>
      <c r="CE38" s="597"/>
      <c r="CF38" s="617">
        <f t="shared" si="22"/>
      </c>
      <c r="CG38" s="625">
        <f t="shared" si="23"/>
      </c>
      <c r="CH38" s="625">
        <f t="shared" si="24"/>
      </c>
      <c r="CI38" s="625">
        <f t="shared" si="25"/>
      </c>
      <c r="CJ38" s="625">
        <f t="shared" si="26"/>
      </c>
      <c r="CK38" s="626">
        <f t="shared" si="8"/>
      </c>
      <c r="CL38" s="626">
        <f t="shared" si="9"/>
      </c>
      <c r="CM38" s="626">
        <f t="shared" si="10"/>
      </c>
      <c r="CN38" s="626">
        <f t="shared" si="11"/>
      </c>
      <c r="CO38" s="516">
        <f t="shared" si="12"/>
        <v>0</v>
      </c>
      <c r="CP38" s="516">
        <f t="shared" si="13"/>
        <v>0</v>
      </c>
      <c r="CQ38" s="504">
        <f t="shared" si="27"/>
      </c>
      <c r="CR38" s="271">
        <f t="shared" si="28"/>
      </c>
    </row>
    <row r="39" spans="1:96" ht="20.25" customHeight="1">
      <c r="A39" s="1036"/>
      <c r="B39" s="1037"/>
      <c r="C39" s="1037"/>
      <c r="D39" s="1037"/>
      <c r="E39" s="1037"/>
      <c r="F39" s="1037"/>
      <c r="G39" s="1038"/>
      <c r="H39" s="1011"/>
      <c r="I39" s="1012"/>
      <c r="J39" s="1039"/>
      <c r="K39" s="1040"/>
      <c r="L39" s="1004"/>
      <c r="M39" s="1005"/>
      <c r="N39" s="1006">
        <f t="shared" si="14"/>
      </c>
      <c r="O39" s="1007"/>
      <c r="P39" s="1013"/>
      <c r="Q39" s="1012"/>
      <c r="R39" s="991"/>
      <c r="S39" s="992"/>
      <c r="T39" s="980">
        <f t="shared" si="0"/>
      </c>
      <c r="U39" s="981"/>
      <c r="Y39" s="280"/>
      <c r="AA39" s="157"/>
      <c r="AB39" s="178">
        <f t="shared" si="1"/>
        <v>0</v>
      </c>
      <c r="AC39" s="38">
        <f t="shared" si="2"/>
        <v>0</v>
      </c>
      <c r="AD39" s="85">
        <f t="shared" si="29"/>
        <v>0</v>
      </c>
      <c r="AE39" s="36">
        <f t="shared" si="30"/>
        <v>0</v>
      </c>
      <c r="AF39" s="45"/>
      <c r="AG39" s="45"/>
      <c r="AH39" s="59">
        <f t="shared" si="32"/>
        <v>0</v>
      </c>
      <c r="AI39" s="181" t="e">
        <f t="shared" si="33"/>
        <v>#DIV/0!</v>
      </c>
      <c r="AJ39" s="181" t="e">
        <f>IF(AND(C7=FALSE,P31&gt;=(H31*$R$11*$J$10)),(((P31/$J$10)-(H31*$R$11))/1000*$J$24)+(AH35/$J$10)+(H31*$J$13),0)</f>
        <v>#DIV/0!</v>
      </c>
      <c r="AK39" s="59">
        <f t="shared" si="34"/>
        <v>0</v>
      </c>
      <c r="AL39" s="45"/>
      <c r="AM39" s="45"/>
      <c r="AN39" s="45"/>
      <c r="AO39" s="45"/>
      <c r="AP39" s="45"/>
      <c r="AQ39" s="45"/>
      <c r="AR39" s="177">
        <f t="shared" si="3"/>
        <v>0</v>
      </c>
      <c r="AS39" s="177" t="b">
        <f t="shared" si="31"/>
        <v>0</v>
      </c>
      <c r="AT39"/>
      <c r="AU39" s="581"/>
      <c r="AV39" s="581"/>
      <c r="AW39" s="581"/>
      <c r="AX39" s="581"/>
      <c r="AZ39" s="84"/>
      <c r="BA39" s="154">
        <f t="shared" si="35"/>
      </c>
      <c r="BB39" s="154">
        <f t="shared" si="36"/>
      </c>
      <c r="BC39" s="154">
        <f t="shared" si="37"/>
      </c>
      <c r="BD39" s="154">
        <f t="shared" si="38"/>
      </c>
      <c r="BE39" s="504">
        <f t="shared" si="39"/>
      </c>
      <c r="BF39" s="504">
        <f t="shared" si="40"/>
        <v>0</v>
      </c>
      <c r="BG39" s="273"/>
      <c r="BI39" s="271">
        <f t="shared" si="4"/>
      </c>
      <c r="BJ39" s="35">
        <f t="shared" si="15"/>
        <v>0</v>
      </c>
      <c r="BK39" s="35"/>
      <c r="BL39" s="149">
        <f t="shared" si="16"/>
        <v>0</v>
      </c>
      <c r="BM39" s="149">
        <f t="shared" si="17"/>
        <v>0</v>
      </c>
      <c r="BN39" s="35">
        <f t="shared" si="18"/>
        <v>0</v>
      </c>
      <c r="BO39" s="35"/>
      <c r="BP39" s="35"/>
      <c r="BT39" s="516">
        <f t="shared" si="19"/>
      </c>
      <c r="BU39" s="948">
        <f t="shared" si="5"/>
      </c>
      <c r="BV39" s="948"/>
      <c r="BW39" s="517">
        <f t="shared" si="6"/>
      </c>
      <c r="BX39" s="517">
        <f t="shared" si="7"/>
      </c>
      <c r="BY39" s="518">
        <f t="shared" si="20"/>
      </c>
      <c r="BZ39" s="515">
        <f t="shared" si="21"/>
      </c>
      <c r="CB39" s="597"/>
      <c r="CC39" s="597"/>
      <c r="CD39" s="597"/>
      <c r="CE39" s="597"/>
      <c r="CF39" s="617">
        <f t="shared" si="22"/>
      </c>
      <c r="CG39" s="625">
        <f t="shared" si="23"/>
      </c>
      <c r="CH39" s="625">
        <f t="shared" si="24"/>
      </c>
      <c r="CI39" s="625">
        <f t="shared" si="25"/>
      </c>
      <c r="CJ39" s="625">
        <f t="shared" si="26"/>
      </c>
      <c r="CK39" s="626">
        <f t="shared" si="8"/>
      </c>
      <c r="CL39" s="626">
        <f t="shared" si="9"/>
      </c>
      <c r="CM39" s="626">
        <f t="shared" si="10"/>
      </c>
      <c r="CN39" s="626">
        <f t="shared" si="11"/>
      </c>
      <c r="CO39" s="516">
        <f t="shared" si="12"/>
        <v>0</v>
      </c>
      <c r="CP39" s="516">
        <f t="shared" si="13"/>
        <v>0</v>
      </c>
      <c r="CQ39" s="504">
        <f t="shared" si="27"/>
      </c>
      <c r="CR39" s="271">
        <f t="shared" si="28"/>
      </c>
    </row>
    <row r="40" spans="1:96" ht="20.25" customHeight="1">
      <c r="A40" s="1041"/>
      <c r="B40" s="1042"/>
      <c r="C40" s="1042"/>
      <c r="D40" s="1042"/>
      <c r="E40" s="1042"/>
      <c r="F40" s="1042"/>
      <c r="G40" s="1043"/>
      <c r="H40" s="1011"/>
      <c r="I40" s="1012"/>
      <c r="J40" s="1039"/>
      <c r="K40" s="1040"/>
      <c r="L40" s="1004"/>
      <c r="M40" s="1005"/>
      <c r="N40" s="1006">
        <f t="shared" si="14"/>
      </c>
      <c r="O40" s="1007"/>
      <c r="P40" s="1013"/>
      <c r="Q40" s="1012"/>
      <c r="R40" s="991"/>
      <c r="S40" s="992"/>
      <c r="T40" s="980">
        <f t="shared" si="0"/>
      </c>
      <c r="U40" s="981"/>
      <c r="AA40" s="157"/>
      <c r="AB40" s="178">
        <f t="shared" si="1"/>
        <v>0</v>
      </c>
      <c r="AC40" s="38">
        <f t="shared" si="2"/>
        <v>0</v>
      </c>
      <c r="AD40" s="85">
        <f t="shared" si="29"/>
        <v>0</v>
      </c>
      <c r="AE40" s="36">
        <f t="shared" si="30"/>
        <v>0</v>
      </c>
      <c r="AF40" s="45"/>
      <c r="AG40" s="45"/>
      <c r="AH40" s="59">
        <f t="shared" si="32"/>
        <v>0</v>
      </c>
      <c r="AI40" s="181" t="e">
        <f t="shared" si="33"/>
        <v>#DIV/0!</v>
      </c>
      <c r="AJ40" s="59">
        <f>IF(AND($C$7=FALSE,P31&lt;(H31*$R$11*$J$10),R31=0),H31*$J$13,0)</f>
        <v>0</v>
      </c>
      <c r="AK40" s="59">
        <f t="shared" si="34"/>
        <v>0</v>
      </c>
      <c r="AL40" s="45"/>
      <c r="AM40" s="45"/>
      <c r="AN40" s="45"/>
      <c r="AO40" s="45"/>
      <c r="AP40" s="45"/>
      <c r="AQ40" s="45"/>
      <c r="AR40" s="177">
        <f t="shared" si="3"/>
        <v>0</v>
      </c>
      <c r="AS40" s="177" t="b">
        <f t="shared" si="31"/>
        <v>0</v>
      </c>
      <c r="AT40"/>
      <c r="AU40" s="581"/>
      <c r="AV40" s="581"/>
      <c r="AW40" s="581"/>
      <c r="AX40" s="581"/>
      <c r="AZ40" s="34"/>
      <c r="BA40" s="154">
        <f t="shared" si="35"/>
      </c>
      <c r="BB40" s="154">
        <f t="shared" si="36"/>
      </c>
      <c r="BC40" s="154">
        <f t="shared" si="37"/>
      </c>
      <c r="BD40" s="154">
        <f t="shared" si="38"/>
      </c>
      <c r="BE40" s="504">
        <f t="shared" si="39"/>
      </c>
      <c r="BF40" s="504">
        <f t="shared" si="40"/>
        <v>0</v>
      </c>
      <c r="BG40" s="273"/>
      <c r="BI40" s="271">
        <f t="shared" si="4"/>
      </c>
      <c r="BJ40" s="35">
        <f t="shared" si="15"/>
        <v>0</v>
      </c>
      <c r="BK40" s="35"/>
      <c r="BL40" s="149">
        <f t="shared" si="16"/>
        <v>0</v>
      </c>
      <c r="BM40" s="149">
        <f t="shared" si="17"/>
        <v>0</v>
      </c>
      <c r="BN40" s="35">
        <f t="shared" si="18"/>
        <v>0</v>
      </c>
      <c r="BO40" s="35"/>
      <c r="BP40" s="35"/>
      <c r="BT40" s="516">
        <f t="shared" si="19"/>
      </c>
      <c r="BU40" s="948">
        <f t="shared" si="5"/>
      </c>
      <c r="BV40" s="948"/>
      <c r="BW40" s="517">
        <f t="shared" si="6"/>
      </c>
      <c r="BX40" s="517">
        <f t="shared" si="7"/>
      </c>
      <c r="BY40" s="518">
        <f t="shared" si="20"/>
      </c>
      <c r="BZ40" s="515">
        <f t="shared" si="21"/>
      </c>
      <c r="CB40" s="597"/>
      <c r="CC40" s="597"/>
      <c r="CD40" s="597"/>
      <c r="CE40" s="597"/>
      <c r="CF40" s="617">
        <f t="shared" si="22"/>
      </c>
      <c r="CG40" s="625">
        <f t="shared" si="23"/>
      </c>
      <c r="CH40" s="625">
        <f t="shared" si="24"/>
      </c>
      <c r="CI40" s="625">
        <f t="shared" si="25"/>
      </c>
      <c r="CJ40" s="625">
        <f t="shared" si="26"/>
      </c>
      <c r="CK40" s="626">
        <f t="shared" si="8"/>
      </c>
      <c r="CL40" s="626">
        <f t="shared" si="9"/>
      </c>
      <c r="CM40" s="626">
        <f t="shared" si="10"/>
      </c>
      <c r="CN40" s="626">
        <f t="shared" si="11"/>
      </c>
      <c r="CO40" s="516">
        <f t="shared" si="12"/>
        <v>0</v>
      </c>
      <c r="CP40" s="516">
        <f t="shared" si="13"/>
        <v>0</v>
      </c>
      <c r="CQ40" s="504">
        <f t="shared" si="27"/>
      </c>
      <c r="CR40" s="271">
        <f t="shared" si="28"/>
      </c>
    </row>
    <row r="41" spans="1:96" ht="20.25" customHeight="1">
      <c r="A41" s="1041"/>
      <c r="B41" s="1042"/>
      <c r="C41" s="1042"/>
      <c r="D41" s="1042"/>
      <c r="E41" s="1042"/>
      <c r="F41" s="1042"/>
      <c r="G41" s="1043"/>
      <c r="H41" s="1011"/>
      <c r="I41" s="1012"/>
      <c r="J41" s="1039"/>
      <c r="K41" s="1040"/>
      <c r="L41" s="1004"/>
      <c r="M41" s="1005"/>
      <c r="N41" s="1006">
        <f t="shared" si="14"/>
      </c>
      <c r="O41" s="1007"/>
      <c r="P41" s="1013"/>
      <c r="Q41" s="1012"/>
      <c r="R41" s="991"/>
      <c r="S41" s="992"/>
      <c r="T41" s="980">
        <f t="shared" si="0"/>
      </c>
      <c r="U41" s="981"/>
      <c r="AB41" s="178">
        <f t="shared" si="1"/>
        <v>0</v>
      </c>
      <c r="AC41" s="38">
        <f t="shared" si="2"/>
        <v>0</v>
      </c>
      <c r="AD41" s="85">
        <f t="shared" si="29"/>
        <v>0</v>
      </c>
      <c r="AE41" s="36">
        <f t="shared" si="30"/>
        <v>0</v>
      </c>
      <c r="AF41" s="45"/>
      <c r="AG41" s="45"/>
      <c r="AH41" s="59">
        <f t="shared" si="32"/>
        <v>0</v>
      </c>
      <c r="AI41" s="181" t="e">
        <f t="shared" si="33"/>
        <v>#DIV/0!</v>
      </c>
      <c r="AK41" s="59">
        <f t="shared" si="34"/>
        <v>0</v>
      </c>
      <c r="AP41" s="45"/>
      <c r="AQ41" s="45"/>
      <c r="AR41" s="177">
        <f t="shared" si="3"/>
        <v>0</v>
      </c>
      <c r="AS41" s="177" t="b">
        <f t="shared" si="31"/>
        <v>0</v>
      </c>
      <c r="AT41"/>
      <c r="AU41" s="581"/>
      <c r="AV41" s="581"/>
      <c r="AW41" s="581"/>
      <c r="AX41" s="581"/>
      <c r="BA41" s="154">
        <f t="shared" si="35"/>
      </c>
      <c r="BB41" s="154">
        <f t="shared" si="36"/>
      </c>
      <c r="BC41" s="154">
        <f t="shared" si="37"/>
      </c>
      <c r="BD41" s="154">
        <f t="shared" si="38"/>
      </c>
      <c r="BE41" s="504">
        <f t="shared" si="39"/>
      </c>
      <c r="BF41" s="504">
        <f t="shared" si="40"/>
        <v>0</v>
      </c>
      <c r="BG41" s="273"/>
      <c r="BI41" s="271">
        <f t="shared" si="4"/>
      </c>
      <c r="BJ41" s="35">
        <f t="shared" si="15"/>
        <v>0</v>
      </c>
      <c r="BK41" s="35"/>
      <c r="BL41" s="149">
        <f t="shared" si="16"/>
        <v>0</v>
      </c>
      <c r="BM41" s="149">
        <f t="shared" si="17"/>
        <v>0</v>
      </c>
      <c r="BN41" s="35">
        <f t="shared" si="18"/>
        <v>0</v>
      </c>
      <c r="BO41" s="35"/>
      <c r="BP41" s="35"/>
      <c r="BT41" s="516">
        <f t="shared" si="19"/>
      </c>
      <c r="BU41" s="948">
        <f t="shared" si="5"/>
      </c>
      <c r="BV41" s="948"/>
      <c r="BW41" s="517">
        <f t="shared" si="6"/>
      </c>
      <c r="BX41" s="517">
        <f t="shared" si="7"/>
      </c>
      <c r="BY41" s="518">
        <f t="shared" si="20"/>
      </c>
      <c r="BZ41" s="515">
        <f t="shared" si="21"/>
      </c>
      <c r="CB41" s="597"/>
      <c r="CC41" s="597"/>
      <c r="CD41" s="597"/>
      <c r="CE41" s="597"/>
      <c r="CF41" s="617">
        <f t="shared" si="22"/>
      </c>
      <c r="CG41" s="625">
        <f t="shared" si="23"/>
      </c>
      <c r="CH41" s="625">
        <f t="shared" si="24"/>
      </c>
      <c r="CI41" s="625">
        <f t="shared" si="25"/>
      </c>
      <c r="CJ41" s="625">
        <f t="shared" si="26"/>
      </c>
      <c r="CK41" s="626">
        <f t="shared" si="8"/>
      </c>
      <c r="CL41" s="626">
        <f t="shared" si="9"/>
      </c>
      <c r="CM41" s="626">
        <f t="shared" si="10"/>
      </c>
      <c r="CN41" s="626">
        <f t="shared" si="11"/>
      </c>
      <c r="CO41" s="516">
        <f t="shared" si="12"/>
        <v>0</v>
      </c>
      <c r="CP41" s="516">
        <f t="shared" si="13"/>
        <v>0</v>
      </c>
      <c r="CQ41" s="504">
        <f t="shared" si="27"/>
      </c>
      <c r="CR41" s="271">
        <f t="shared" si="28"/>
      </c>
    </row>
    <row r="42" spans="1:96" ht="20.25" customHeight="1">
      <c r="A42" s="1041"/>
      <c r="B42" s="1042"/>
      <c r="C42" s="1042"/>
      <c r="D42" s="1042"/>
      <c r="E42" s="1042"/>
      <c r="F42" s="1042"/>
      <c r="G42" s="1043"/>
      <c r="H42" s="1011"/>
      <c r="I42" s="1012"/>
      <c r="J42" s="1039"/>
      <c r="K42" s="1040"/>
      <c r="L42" s="1004"/>
      <c r="M42" s="1005"/>
      <c r="N42" s="1006">
        <f t="shared" si="14"/>
      </c>
      <c r="O42" s="1007"/>
      <c r="P42" s="1013"/>
      <c r="Q42" s="1012"/>
      <c r="R42" s="991"/>
      <c r="S42" s="992"/>
      <c r="T42" s="980">
        <f t="shared" si="0"/>
      </c>
      <c r="U42" s="981"/>
      <c r="AB42" s="178">
        <f t="shared" si="1"/>
        <v>0</v>
      </c>
      <c r="AC42" s="38">
        <f t="shared" si="2"/>
        <v>0</v>
      </c>
      <c r="AD42" s="85">
        <f t="shared" si="29"/>
        <v>0</v>
      </c>
      <c r="AE42" s="36">
        <f t="shared" si="30"/>
        <v>0</v>
      </c>
      <c r="AH42" s="59">
        <f t="shared" si="32"/>
        <v>0</v>
      </c>
      <c r="AI42" s="181" t="e">
        <f t="shared" si="33"/>
        <v>#DIV/0!</v>
      </c>
      <c r="AK42" s="59">
        <f t="shared" si="34"/>
        <v>0</v>
      </c>
      <c r="AP42" s="45"/>
      <c r="AQ42" s="45"/>
      <c r="AR42" s="177">
        <f t="shared" si="3"/>
        <v>0</v>
      </c>
      <c r="AS42" s="177" t="b">
        <f t="shared" si="31"/>
        <v>0</v>
      </c>
      <c r="AT42"/>
      <c r="AU42" s="581"/>
      <c r="AV42" s="581"/>
      <c r="AW42" s="581"/>
      <c r="AX42" s="581"/>
      <c r="BA42" s="154">
        <f t="shared" si="35"/>
      </c>
      <c r="BB42" s="154">
        <f t="shared" si="36"/>
      </c>
      <c r="BC42" s="154">
        <f t="shared" si="37"/>
      </c>
      <c r="BD42" s="154">
        <f t="shared" si="38"/>
      </c>
      <c r="BE42" s="504">
        <f t="shared" si="39"/>
      </c>
      <c r="BF42" s="504">
        <f t="shared" si="40"/>
        <v>0</v>
      </c>
      <c r="BG42" s="273"/>
      <c r="BI42" s="271">
        <f t="shared" si="4"/>
      </c>
      <c r="BJ42" s="35">
        <f t="shared" si="15"/>
        <v>0</v>
      </c>
      <c r="BK42" s="35"/>
      <c r="BL42" s="149">
        <f t="shared" si="16"/>
        <v>0</v>
      </c>
      <c r="BM42" s="149">
        <f t="shared" si="17"/>
        <v>0</v>
      </c>
      <c r="BN42" s="35">
        <f t="shared" si="18"/>
        <v>0</v>
      </c>
      <c r="BO42" s="35"/>
      <c r="BP42" s="35"/>
      <c r="BT42" s="516">
        <f t="shared" si="19"/>
      </c>
      <c r="BU42" s="948">
        <f t="shared" si="5"/>
      </c>
      <c r="BV42" s="948"/>
      <c r="BW42" s="517">
        <f t="shared" si="6"/>
      </c>
      <c r="BX42" s="517">
        <f t="shared" si="7"/>
      </c>
      <c r="BY42" s="518">
        <f t="shared" si="20"/>
      </c>
      <c r="BZ42" s="515">
        <f t="shared" si="21"/>
      </c>
      <c r="CB42" s="597"/>
      <c r="CC42" s="597"/>
      <c r="CD42" s="597"/>
      <c r="CE42" s="597"/>
      <c r="CF42" s="617">
        <f t="shared" si="22"/>
      </c>
      <c r="CG42" s="625">
        <f t="shared" si="23"/>
      </c>
      <c r="CH42" s="625">
        <f t="shared" si="24"/>
      </c>
      <c r="CI42" s="625">
        <f t="shared" si="25"/>
      </c>
      <c r="CJ42" s="625">
        <f t="shared" si="26"/>
      </c>
      <c r="CK42" s="626">
        <f t="shared" si="8"/>
      </c>
      <c r="CL42" s="626">
        <f t="shared" si="9"/>
      </c>
      <c r="CM42" s="626">
        <f t="shared" si="10"/>
      </c>
      <c r="CN42" s="626">
        <f t="shared" si="11"/>
      </c>
      <c r="CO42" s="516">
        <f t="shared" si="12"/>
        <v>0</v>
      </c>
      <c r="CP42" s="516">
        <f t="shared" si="13"/>
        <v>0</v>
      </c>
      <c r="CQ42" s="504">
        <f t="shared" si="27"/>
      </c>
      <c r="CR42" s="271">
        <f t="shared" si="28"/>
      </c>
    </row>
    <row r="43" spans="1:96" ht="20.25" customHeight="1">
      <c r="A43" s="1041"/>
      <c r="B43" s="1042"/>
      <c r="C43" s="1042"/>
      <c r="D43" s="1042"/>
      <c r="E43" s="1042"/>
      <c r="F43" s="1042"/>
      <c r="G43" s="1043"/>
      <c r="H43" s="1011"/>
      <c r="I43" s="1012"/>
      <c r="J43" s="1039"/>
      <c r="K43" s="1040"/>
      <c r="L43" s="1004"/>
      <c r="M43" s="1005"/>
      <c r="N43" s="1006">
        <f t="shared" si="14"/>
      </c>
      <c r="O43" s="1007"/>
      <c r="P43" s="1013"/>
      <c r="Q43" s="1012"/>
      <c r="R43" s="991"/>
      <c r="S43" s="992"/>
      <c r="T43" s="980">
        <f t="shared" si="0"/>
      </c>
      <c r="U43" s="981"/>
      <c r="AB43" s="178">
        <f t="shared" si="1"/>
        <v>0</v>
      </c>
      <c r="AC43" s="38">
        <f t="shared" si="2"/>
        <v>0</v>
      </c>
      <c r="AD43" s="85">
        <f t="shared" si="29"/>
        <v>0</v>
      </c>
      <c r="AE43" s="36">
        <f t="shared" si="30"/>
        <v>0</v>
      </c>
      <c r="AH43" s="59">
        <f t="shared" si="32"/>
        <v>0</v>
      </c>
      <c r="AI43" s="181" t="e">
        <f t="shared" si="33"/>
        <v>#DIV/0!</v>
      </c>
      <c r="AK43" s="59">
        <f t="shared" si="34"/>
        <v>0</v>
      </c>
      <c r="AP43" s="45"/>
      <c r="AQ43" s="45"/>
      <c r="AR43" s="177">
        <f t="shared" si="3"/>
        <v>0</v>
      </c>
      <c r="AS43" s="177" t="b">
        <f t="shared" si="31"/>
        <v>0</v>
      </c>
      <c r="AT43"/>
      <c r="AU43" s="581"/>
      <c r="AV43" s="581"/>
      <c r="AW43" s="581"/>
      <c r="AX43" s="581"/>
      <c r="BA43" s="154">
        <f t="shared" si="35"/>
      </c>
      <c r="BB43" s="154">
        <f t="shared" si="36"/>
      </c>
      <c r="BC43" s="154">
        <f t="shared" si="37"/>
      </c>
      <c r="BD43" s="154">
        <f t="shared" si="38"/>
      </c>
      <c r="BE43" s="504">
        <f t="shared" si="39"/>
      </c>
      <c r="BF43" s="504">
        <f t="shared" si="40"/>
        <v>0</v>
      </c>
      <c r="BG43" s="273"/>
      <c r="BI43" s="271">
        <f t="shared" si="4"/>
      </c>
      <c r="BJ43" s="35">
        <f t="shared" si="15"/>
        <v>0</v>
      </c>
      <c r="BK43" s="35"/>
      <c r="BL43" s="149">
        <f t="shared" si="16"/>
        <v>0</v>
      </c>
      <c r="BM43" s="149">
        <f t="shared" si="17"/>
        <v>0</v>
      </c>
      <c r="BN43" s="35">
        <f t="shared" si="18"/>
        <v>0</v>
      </c>
      <c r="BO43" s="35"/>
      <c r="BP43" s="35"/>
      <c r="BT43" s="516">
        <f t="shared" si="19"/>
      </c>
      <c r="BU43" s="948">
        <f t="shared" si="5"/>
      </c>
      <c r="BV43" s="948"/>
      <c r="BW43" s="517">
        <f t="shared" si="6"/>
      </c>
      <c r="BX43" s="517">
        <f t="shared" si="7"/>
      </c>
      <c r="BY43" s="518">
        <f t="shared" si="20"/>
      </c>
      <c r="BZ43" s="515">
        <f t="shared" si="21"/>
      </c>
      <c r="CB43" s="597"/>
      <c r="CC43" s="597"/>
      <c r="CD43" s="597"/>
      <c r="CE43" s="597"/>
      <c r="CF43" s="617">
        <f t="shared" si="22"/>
      </c>
      <c r="CG43" s="625">
        <f t="shared" si="23"/>
      </c>
      <c r="CH43" s="625">
        <f t="shared" si="24"/>
      </c>
      <c r="CI43" s="625">
        <f t="shared" si="25"/>
      </c>
      <c r="CJ43" s="625">
        <f t="shared" si="26"/>
      </c>
      <c r="CK43" s="626">
        <f t="shared" si="8"/>
      </c>
      <c r="CL43" s="626">
        <f t="shared" si="9"/>
      </c>
      <c r="CM43" s="626">
        <f t="shared" si="10"/>
      </c>
      <c r="CN43" s="626">
        <f t="shared" si="11"/>
      </c>
      <c r="CO43" s="516">
        <f t="shared" si="12"/>
        <v>0</v>
      </c>
      <c r="CP43" s="516">
        <f t="shared" si="13"/>
        <v>0</v>
      </c>
      <c r="CQ43" s="504">
        <f t="shared" si="27"/>
      </c>
      <c r="CR43" s="271">
        <f t="shared" si="28"/>
      </c>
    </row>
    <row r="44" spans="1:96" ht="20.25" customHeight="1">
      <c r="A44" s="1041"/>
      <c r="B44" s="1042"/>
      <c r="C44" s="1042"/>
      <c r="D44" s="1042"/>
      <c r="E44" s="1042"/>
      <c r="F44" s="1042"/>
      <c r="G44" s="1043"/>
      <c r="H44" s="1011"/>
      <c r="I44" s="1012"/>
      <c r="J44" s="1039"/>
      <c r="K44" s="1040"/>
      <c r="L44" s="1004"/>
      <c r="M44" s="1005"/>
      <c r="N44" s="1006">
        <f t="shared" si="14"/>
      </c>
      <c r="O44" s="1007"/>
      <c r="P44" s="1013"/>
      <c r="Q44" s="1012"/>
      <c r="R44" s="991"/>
      <c r="S44" s="992"/>
      <c r="T44" s="980">
        <f t="shared" si="0"/>
      </c>
      <c r="U44" s="981"/>
      <c r="AB44" s="178">
        <f t="shared" si="1"/>
        <v>0</v>
      </c>
      <c r="AC44" s="38">
        <f t="shared" si="2"/>
        <v>0</v>
      </c>
      <c r="AD44" s="85">
        <f t="shared" si="29"/>
        <v>0</v>
      </c>
      <c r="AE44" s="36">
        <f t="shared" si="30"/>
        <v>0</v>
      </c>
      <c r="AH44" s="59">
        <f t="shared" si="32"/>
        <v>0</v>
      </c>
      <c r="AI44" s="181" t="e">
        <f t="shared" si="33"/>
        <v>#DIV/0!</v>
      </c>
      <c r="AK44" s="59">
        <f t="shared" si="34"/>
        <v>0</v>
      </c>
      <c r="AP44" s="45"/>
      <c r="AQ44" s="45"/>
      <c r="AR44" s="177">
        <f t="shared" si="3"/>
        <v>0</v>
      </c>
      <c r="AS44" s="177" t="b">
        <f t="shared" si="31"/>
        <v>0</v>
      </c>
      <c r="AT44"/>
      <c r="AU44" s="581"/>
      <c r="AV44" s="581"/>
      <c r="AW44" s="581"/>
      <c r="AX44" s="581"/>
      <c r="BA44" s="154">
        <f t="shared" si="35"/>
      </c>
      <c r="BB44" s="154">
        <f t="shared" si="36"/>
      </c>
      <c r="BC44" s="154">
        <f t="shared" si="37"/>
      </c>
      <c r="BD44" s="154">
        <f t="shared" si="38"/>
      </c>
      <c r="BE44" s="504">
        <f t="shared" si="39"/>
      </c>
      <c r="BF44" s="504">
        <f t="shared" si="40"/>
        <v>0</v>
      </c>
      <c r="BG44" s="273"/>
      <c r="BI44" s="271">
        <f t="shared" si="4"/>
      </c>
      <c r="BJ44" s="35">
        <f t="shared" si="15"/>
        <v>0</v>
      </c>
      <c r="BK44" s="35"/>
      <c r="BL44" s="149">
        <f t="shared" si="16"/>
        <v>0</v>
      </c>
      <c r="BM44" s="149">
        <f t="shared" si="17"/>
        <v>0</v>
      </c>
      <c r="BN44" s="35">
        <f t="shared" si="18"/>
        <v>0</v>
      </c>
      <c r="BO44" s="35"/>
      <c r="BP44" s="35"/>
      <c r="BT44" s="516">
        <f t="shared" si="19"/>
      </c>
      <c r="BU44" s="948">
        <f t="shared" si="5"/>
      </c>
      <c r="BV44" s="948"/>
      <c r="BW44" s="517">
        <f t="shared" si="6"/>
      </c>
      <c r="BX44" s="517">
        <f t="shared" si="7"/>
      </c>
      <c r="BY44" s="518">
        <f t="shared" si="20"/>
      </c>
      <c r="BZ44" s="515">
        <f t="shared" si="21"/>
      </c>
      <c r="CB44" s="597"/>
      <c r="CC44" s="597"/>
      <c r="CD44" s="597"/>
      <c r="CE44" s="597"/>
      <c r="CF44" s="617">
        <f t="shared" si="22"/>
      </c>
      <c r="CG44" s="625">
        <f t="shared" si="23"/>
      </c>
      <c r="CH44" s="625">
        <f t="shared" si="24"/>
      </c>
      <c r="CI44" s="625">
        <f t="shared" si="25"/>
      </c>
      <c r="CJ44" s="625">
        <f t="shared" si="26"/>
      </c>
      <c r="CK44" s="626">
        <f t="shared" si="8"/>
      </c>
      <c r="CL44" s="626">
        <f t="shared" si="9"/>
      </c>
      <c r="CM44" s="626">
        <f t="shared" si="10"/>
      </c>
      <c r="CN44" s="626">
        <f t="shared" si="11"/>
      </c>
      <c r="CO44" s="516">
        <f t="shared" si="12"/>
        <v>0</v>
      </c>
      <c r="CP44" s="516">
        <f t="shared" si="13"/>
        <v>0</v>
      </c>
      <c r="CQ44" s="504">
        <f t="shared" si="27"/>
      </c>
      <c r="CR44" s="271">
        <f t="shared" si="28"/>
      </c>
    </row>
    <row r="45" spans="1:96" ht="20.25" customHeight="1">
      <c r="A45" s="1041"/>
      <c r="B45" s="1042"/>
      <c r="C45" s="1042"/>
      <c r="D45" s="1042"/>
      <c r="E45" s="1042"/>
      <c r="F45" s="1042"/>
      <c r="G45" s="1043"/>
      <c r="H45" s="1011"/>
      <c r="I45" s="1012"/>
      <c r="J45" s="1039"/>
      <c r="K45" s="1040"/>
      <c r="L45" s="1004"/>
      <c r="M45" s="1005"/>
      <c r="N45" s="1006">
        <f t="shared" si="14"/>
      </c>
      <c r="O45" s="1007"/>
      <c r="P45" s="1013"/>
      <c r="Q45" s="1012"/>
      <c r="R45" s="991"/>
      <c r="S45" s="992"/>
      <c r="T45" s="980">
        <f t="shared" si="0"/>
      </c>
      <c r="U45" s="981"/>
      <c r="AB45" s="178">
        <f t="shared" si="1"/>
        <v>0</v>
      </c>
      <c r="AC45" s="38">
        <f t="shared" si="2"/>
        <v>0</v>
      </c>
      <c r="AD45" s="85">
        <f t="shared" si="29"/>
        <v>0</v>
      </c>
      <c r="AE45" s="36">
        <f t="shared" si="30"/>
        <v>0</v>
      </c>
      <c r="AH45" s="59">
        <f t="shared" si="32"/>
        <v>0</v>
      </c>
      <c r="AI45" s="181" t="e">
        <f t="shared" si="33"/>
        <v>#DIV/0!</v>
      </c>
      <c r="AK45" s="59">
        <f t="shared" si="34"/>
        <v>0</v>
      </c>
      <c r="AP45" s="45"/>
      <c r="AQ45" s="45"/>
      <c r="AR45" s="177">
        <f t="shared" si="3"/>
        <v>0</v>
      </c>
      <c r="AS45" s="177" t="b">
        <f t="shared" si="31"/>
        <v>0</v>
      </c>
      <c r="AT45"/>
      <c r="AU45" s="581"/>
      <c r="AV45" s="581"/>
      <c r="AW45" s="581"/>
      <c r="AX45" s="581"/>
      <c r="BA45" s="154">
        <f t="shared" si="35"/>
      </c>
      <c r="BB45" s="154">
        <f t="shared" si="36"/>
      </c>
      <c r="BC45" s="154">
        <f t="shared" si="37"/>
      </c>
      <c r="BD45" s="154">
        <f t="shared" si="38"/>
      </c>
      <c r="BE45" s="504">
        <f t="shared" si="39"/>
      </c>
      <c r="BF45" s="504">
        <f t="shared" si="40"/>
        <v>0</v>
      </c>
      <c r="BG45" s="273"/>
      <c r="BI45" s="271">
        <f t="shared" si="4"/>
      </c>
      <c r="BJ45" s="35">
        <f t="shared" si="15"/>
        <v>0</v>
      </c>
      <c r="BK45" s="35"/>
      <c r="BL45" s="149">
        <f t="shared" si="16"/>
        <v>0</v>
      </c>
      <c r="BM45" s="149">
        <f t="shared" si="17"/>
        <v>0</v>
      </c>
      <c r="BN45" s="35">
        <f t="shared" si="18"/>
        <v>0</v>
      </c>
      <c r="BO45" s="35"/>
      <c r="BP45" s="35"/>
      <c r="BT45" s="516">
        <f t="shared" si="19"/>
      </c>
      <c r="BU45" s="948">
        <f t="shared" si="5"/>
      </c>
      <c r="BV45" s="948"/>
      <c r="BW45" s="517">
        <f t="shared" si="6"/>
      </c>
      <c r="BX45" s="517">
        <f t="shared" si="7"/>
      </c>
      <c r="BY45" s="518">
        <f t="shared" si="20"/>
      </c>
      <c r="BZ45" s="515">
        <f t="shared" si="21"/>
      </c>
      <c r="CB45" s="597"/>
      <c r="CC45" s="597"/>
      <c r="CD45" s="597"/>
      <c r="CE45" s="597"/>
      <c r="CF45" s="617">
        <f t="shared" si="22"/>
      </c>
      <c r="CG45" s="625">
        <f t="shared" si="23"/>
      </c>
      <c r="CH45" s="625">
        <f t="shared" si="24"/>
      </c>
      <c r="CI45" s="625">
        <f t="shared" si="25"/>
      </c>
      <c r="CJ45" s="625">
        <f t="shared" si="26"/>
      </c>
      <c r="CK45" s="626">
        <f t="shared" si="8"/>
      </c>
      <c r="CL45" s="626">
        <f t="shared" si="9"/>
      </c>
      <c r="CM45" s="626">
        <f t="shared" si="10"/>
      </c>
      <c r="CN45" s="626">
        <f t="shared" si="11"/>
      </c>
      <c r="CO45" s="516">
        <f t="shared" si="12"/>
        <v>0</v>
      </c>
      <c r="CP45" s="516">
        <f t="shared" si="13"/>
        <v>0</v>
      </c>
      <c r="CQ45" s="504">
        <f t="shared" si="27"/>
      </c>
      <c r="CR45" s="271">
        <f t="shared" si="28"/>
      </c>
    </row>
    <row r="46" spans="1:96" ht="18" customHeight="1" thickBot="1">
      <c r="A46" s="1008"/>
      <c r="B46" s="1009"/>
      <c r="C46" s="1009"/>
      <c r="D46" s="1009"/>
      <c r="E46" s="1009"/>
      <c r="F46" s="1009"/>
      <c r="G46" s="1010"/>
      <c r="H46" s="1011"/>
      <c r="I46" s="1012"/>
      <c r="J46" s="1039"/>
      <c r="K46" s="1040"/>
      <c r="L46" s="1004"/>
      <c r="M46" s="1005"/>
      <c r="N46" s="1006">
        <f t="shared" si="14"/>
      </c>
      <c r="O46" s="1007"/>
      <c r="P46" s="1013"/>
      <c r="Q46" s="1012"/>
      <c r="R46" s="1081"/>
      <c r="S46" s="1082"/>
      <c r="T46" s="980">
        <f t="shared" si="0"/>
      </c>
      <c r="U46" s="981"/>
      <c r="AB46" s="178">
        <f>IF(P46&lt;0,P46,0)</f>
        <v>0</v>
      </c>
      <c r="AC46" s="38">
        <f>IF(AND($J$24=0,H46&lt;&gt;0),H46,IF(AND($J$24&gt;0,P46=0),0,IF(AND($J$24&gt;0,P46&lt;&gt;0,H46&lt;&gt;0),H46,0)))</f>
        <v>0</v>
      </c>
      <c r="AD46" s="85">
        <f t="shared" si="29"/>
        <v>0</v>
      </c>
      <c r="AE46" s="36">
        <f t="shared" si="30"/>
        <v>0</v>
      </c>
      <c r="AH46" s="59">
        <f t="shared" si="32"/>
        <v>0</v>
      </c>
      <c r="AI46" s="181" t="e">
        <f t="shared" si="33"/>
        <v>#DIV/0!</v>
      </c>
      <c r="AK46" s="59">
        <f t="shared" si="34"/>
        <v>0</v>
      </c>
      <c r="AP46" s="45"/>
      <c r="AQ46" s="45"/>
      <c r="AR46" s="177">
        <f t="shared" si="3"/>
        <v>0</v>
      </c>
      <c r="AS46" s="177" t="b">
        <f t="shared" si="31"/>
        <v>0</v>
      </c>
      <c r="AT46"/>
      <c r="AU46"/>
      <c r="AV46"/>
      <c r="AW46"/>
      <c r="AX46"/>
      <c r="BA46"/>
      <c r="BB46"/>
      <c r="BC46"/>
      <c r="BD46"/>
      <c r="BE46"/>
      <c r="BF46"/>
      <c r="BG46" s="273"/>
      <c r="BI46" s="271">
        <f t="shared" si="4"/>
      </c>
      <c r="BJ46" s="35">
        <f t="shared" si="15"/>
        <v>0</v>
      </c>
      <c r="BK46" s="35"/>
      <c r="BL46" s="149">
        <f t="shared" si="16"/>
        <v>0</v>
      </c>
      <c r="BM46" s="149">
        <f t="shared" si="17"/>
        <v>0</v>
      </c>
      <c r="BN46" s="35">
        <f t="shared" si="18"/>
        <v>0</v>
      </c>
      <c r="BO46" s="35"/>
      <c r="BP46" s="35"/>
      <c r="BT46" s="516">
        <f t="shared" si="19"/>
      </c>
      <c r="BU46" s="948">
        <f t="shared" si="5"/>
      </c>
      <c r="BV46" s="948"/>
      <c r="BW46" s="517">
        <f t="shared" si="6"/>
      </c>
      <c r="BX46" s="517">
        <f t="shared" si="7"/>
      </c>
      <c r="BY46" s="518">
        <f t="shared" si="20"/>
      </c>
      <c r="BZ46" s="515">
        <f t="shared" si="21"/>
      </c>
      <c r="CB46" s="597"/>
      <c r="CC46" s="597"/>
      <c r="CD46" s="597"/>
      <c r="CE46" s="597"/>
      <c r="CF46" s="617">
        <f t="shared" si="22"/>
      </c>
      <c r="CG46" s="625">
        <f>IF(CK46="","",IF(AND(NOT($CB$27=""),NOT(CB46=0)),CK46*$CB$27,""))</f>
      </c>
      <c r="CH46" s="625">
        <f>IF(CL46="","",IF(AND(NOT($CC$27=""),NOT(CC46=0)),CL46*$CC$27,""))</f>
      </c>
      <c r="CI46" s="625">
        <f>IF(CM46="","",IF(AND(NOT($CD$27=""),NOT(CD46=0)),CM46*$CD$27,""))</f>
      </c>
      <c r="CJ46" s="625">
        <f>IF(CN46="","",IF(AND(NOT($CE$27=""),NOT(CE46=0)),CN46*$CE$27,""))</f>
      </c>
      <c r="CK46" s="626">
        <f t="shared" si="8"/>
      </c>
      <c r="CL46" s="626">
        <f t="shared" si="9"/>
      </c>
      <c r="CM46" s="626">
        <f t="shared" si="10"/>
      </c>
      <c r="CN46" s="626">
        <f t="shared" si="11"/>
      </c>
      <c r="CO46" s="516">
        <f t="shared" si="12"/>
        <v>0</v>
      </c>
      <c r="CP46" s="516">
        <f t="shared" si="13"/>
        <v>0</v>
      </c>
      <c r="CQ46" s="504">
        <f t="shared" si="27"/>
      </c>
      <c r="CR46" s="271">
        <f t="shared" si="28"/>
      </c>
    </row>
    <row r="47" spans="1:77" ht="13.5" thickTop="1">
      <c r="A47" s="995" t="str">
        <f>IF(C6,Y47,Y48)</f>
        <v>**  To add customers that do NOT use water,such as empty lots or buildings, enter an 'x' under 'Gallons in Period'; to add customers that are INCLUDED in the 'Residential Connections' above, leave the 'Gallons in Period' BLANK.</v>
      </c>
      <c r="B47" s="996"/>
      <c r="C47" s="996"/>
      <c r="D47" s="996"/>
      <c r="E47" s="996"/>
      <c r="F47" s="996"/>
      <c r="G47" s="996"/>
      <c r="H47" s="996"/>
      <c r="I47" s="996"/>
      <c r="J47" s="996"/>
      <c r="K47" s="996"/>
      <c r="L47" s="996"/>
      <c r="M47" s="996"/>
      <c r="N47" s="996"/>
      <c r="O47" s="996"/>
      <c r="P47" s="996"/>
      <c r="Q47" s="996"/>
      <c r="R47" s="996"/>
      <c r="S47" s="996"/>
      <c r="T47" s="996"/>
      <c r="U47" s="997"/>
      <c r="Y47" s="39" t="b">
        <f>IF(AND(C6,C7),"**  To add customers that do NOT discharge wastwater,such as empty lots or buildings, enter an 'x' under 'Annual Cubic Feet'; to add customers that are INCLUDED in the 'Residential Connections' above, leave the Annual Cubic Feet' BLANK.",IF(C6,"**  To add customers that do NOT discharge wastewater,such as empty lots or buildings, enter an 'x' under 'Annual Gallons'; to add customers that are INCLUDED in the 'Residential Connections' above, leave the 'Annual Gallons' BLANK."))</f>
        <v>0</v>
      </c>
      <c r="AB47" s="39">
        <f>SUM(AB31:AB46)</f>
        <v>0</v>
      </c>
      <c r="AH47" s="59">
        <f t="shared" si="32"/>
        <v>0</v>
      </c>
      <c r="AI47" s="181" t="e">
        <f t="shared" si="33"/>
        <v>#DIV/0!</v>
      </c>
      <c r="AK47" s="59">
        <f t="shared" si="34"/>
        <v>0</v>
      </c>
      <c r="AP47" s="45"/>
      <c r="AQ47" s="45"/>
      <c r="AR47" s="45">
        <f>SUM(AR31:AR46)</f>
        <v>0</v>
      </c>
      <c r="AS47" s="45"/>
      <c r="AT47"/>
      <c r="AU47"/>
      <c r="AV47"/>
      <c r="AW47"/>
      <c r="AX47"/>
      <c r="BA47"/>
      <c r="BB47"/>
      <c r="BC47"/>
      <c r="BD47"/>
      <c r="BE47"/>
      <c r="BF47"/>
      <c r="BG47" s="35"/>
      <c r="BH47" s="35"/>
      <c r="BI47" s="271"/>
      <c r="BJ47" s="35">
        <f>SUM(BJ31:BJ46)</f>
        <v>0</v>
      </c>
      <c r="BK47" s="35"/>
      <c r="BL47" s="149"/>
      <c r="BM47" s="149">
        <f>SUM(BM31:BM46)*12</f>
        <v>0</v>
      </c>
      <c r="BN47" s="273">
        <f>SUM(BN31:BN46)</f>
        <v>0</v>
      </c>
      <c r="BO47" s="35"/>
      <c r="BP47" s="35"/>
      <c r="BT47" s="519">
        <f>IF(NOT(BU47=""),"Total:","")</f>
      </c>
      <c r="BU47" s="946">
        <f>IF(SUM(BU31:BU46)&gt;0,SUM(BU31:BU46),"")</f>
      </c>
      <c r="BV47" s="947"/>
      <c r="BW47" s="522">
        <f>IF(SUM(BW31:BW46)=0,"",IF(SMALL(BW31:BW46,1)=0,"N/A",IF(AND(NOT(R9=""),SUM(P31:P46)&gt;0),SUM(P31:P46)/R9,"")))</f>
      </c>
      <c r="BX47" s="522">
        <f>IF(NOT(BU47=""),BU47/R14,"")</f>
      </c>
      <c r="BY47" s="518"/>
    </row>
    <row r="48" spans="1:77" ht="12.75">
      <c r="A48" s="998"/>
      <c r="B48" s="999"/>
      <c r="C48" s="999"/>
      <c r="D48" s="999"/>
      <c r="E48" s="999"/>
      <c r="F48" s="999"/>
      <c r="G48" s="999"/>
      <c r="H48" s="999"/>
      <c r="I48" s="999"/>
      <c r="J48" s="999"/>
      <c r="K48" s="999"/>
      <c r="L48" s="999"/>
      <c r="M48" s="999"/>
      <c r="N48" s="999"/>
      <c r="O48" s="999"/>
      <c r="P48" s="999"/>
      <c r="Q48" s="999"/>
      <c r="R48" s="999"/>
      <c r="S48" s="999"/>
      <c r="T48" s="999"/>
      <c r="U48" s="1000"/>
      <c r="Y48" s="39" t="str">
        <f>IF(C7,"**  To add customers that do NOT discharge water,such as empty lots or buildings, enter an 'x' under 'Cubic Feet in Period'; to add customers that are INCLUDED in the 'Residential Connections' above, leave 'Cubic Feet in Period' BLANK.","**  To add customers that do NOT use water,such as empty lots or buildings, enter an 'x' under 'Gallons in Period'; to add customers that are INCLUDED in the 'Residential Connections' above, leave the 'Gallons in Period' BLANK.")</f>
        <v>**  To add customers that do NOT use water,such as empty lots or buildings, enter an 'x' under 'Gallons in Period'; to add customers that are INCLUDED in the 'Residential Connections' above, leave the 'Gallons in Period' BLANK.</v>
      </c>
      <c r="AH48" s="59">
        <f t="shared" si="32"/>
        <v>0</v>
      </c>
      <c r="AI48" s="181" t="e">
        <f t="shared" si="33"/>
        <v>#DIV/0!</v>
      </c>
      <c r="AK48" s="59">
        <f t="shared" si="34"/>
        <v>0</v>
      </c>
      <c r="AT48"/>
      <c r="BG48" s="35"/>
      <c r="BH48" s="35"/>
      <c r="BI48" s="271"/>
      <c r="BJ48" s="35"/>
      <c r="BK48" s="35"/>
      <c r="BN48" s="35"/>
      <c r="BO48" s="35"/>
      <c r="BP48" s="35"/>
      <c r="BT48" s="521"/>
      <c r="BU48" s="520"/>
      <c r="BV48" s="520"/>
      <c r="BW48" s="522">
        <f>IF(BW47="N/A","",IF(BW47="","","RU"))</f>
      </c>
      <c r="BX48" s="523">
        <f>IF(BW48="RU",BX47/BW47*100,"")</f>
      </c>
      <c r="BY48" s="518"/>
    </row>
    <row r="49" spans="1:46" ht="13.5" thickBot="1">
      <c r="A49" s="1001"/>
      <c r="B49" s="1002"/>
      <c r="C49" s="1002"/>
      <c r="D49" s="1002"/>
      <c r="E49" s="1002"/>
      <c r="F49" s="1002"/>
      <c r="G49" s="1002"/>
      <c r="H49" s="1002"/>
      <c r="I49" s="1002"/>
      <c r="J49" s="1002"/>
      <c r="K49" s="1002"/>
      <c r="L49" s="1002"/>
      <c r="M49" s="1002"/>
      <c r="N49" s="1002"/>
      <c r="O49" s="1002"/>
      <c r="P49" s="1002"/>
      <c r="Q49" s="1002"/>
      <c r="R49" s="1002"/>
      <c r="S49" s="1002"/>
      <c r="T49" s="1002"/>
      <c r="U49" s="1003"/>
      <c r="AH49" s="59">
        <f t="shared" si="32"/>
        <v>0</v>
      </c>
      <c r="AI49" s="181" t="e">
        <f t="shared" si="33"/>
        <v>#DIV/0!</v>
      </c>
      <c r="AK49" s="59">
        <f t="shared" si="34"/>
        <v>0</v>
      </c>
      <c r="AT49"/>
    </row>
    <row r="50" spans="1:37" ht="13.5" thickTop="1">
      <c r="A50" s="153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82"/>
      <c r="R50" s="153"/>
      <c r="S50" s="153"/>
      <c r="AH50" s="59">
        <f t="shared" si="32"/>
        <v>0</v>
      </c>
      <c r="AI50" s="181" t="e">
        <f t="shared" si="33"/>
        <v>#DIV/0!</v>
      </c>
      <c r="AK50" s="59">
        <f t="shared" si="34"/>
        <v>0</v>
      </c>
    </row>
    <row r="51" spans="1:74" ht="12.75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646"/>
      <c r="N51" s="646"/>
      <c r="O51" s="646"/>
      <c r="P51" s="646"/>
      <c r="Q51" s="644"/>
      <c r="R51" s="8"/>
      <c r="S51" s="153"/>
      <c r="AI51" s="272" t="e">
        <f>SUM(AI35:AI50)</f>
        <v>#DIV/0!</v>
      </c>
      <c r="BU51" s="1210"/>
      <c r="BV51" s="1210"/>
    </row>
    <row r="52" spans="1:19" ht="12.75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646"/>
      <c r="N52" s="646"/>
      <c r="O52" s="646"/>
      <c r="P52" s="646"/>
      <c r="Q52" s="647"/>
      <c r="R52" s="647"/>
      <c r="S52" s="153"/>
    </row>
    <row r="53" spans="1:19" ht="13.5" customHeight="1" hidden="1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56"/>
      <c r="R53" s="56"/>
      <c r="S53" s="153"/>
    </row>
    <row r="54" spans="17:79" ht="16.5" customHeight="1" hidden="1">
      <c r="Q54" s="56"/>
      <c r="R54" s="56"/>
      <c r="AY54" s="35"/>
      <c r="AZ54" s="35"/>
      <c r="BG54" s="35"/>
      <c r="BH54" s="35"/>
      <c r="BI54" s="271"/>
      <c r="BJ54" s="35"/>
      <c r="BK54" s="35"/>
      <c r="BN54" s="35"/>
      <c r="BO54" s="35"/>
      <c r="BP54" s="35"/>
      <c r="BQ54" s="35"/>
      <c r="BR54" s="516"/>
      <c r="BS54" s="516"/>
      <c r="BT54" s="516"/>
      <c r="BU54" s="520"/>
      <c r="BV54" s="520"/>
      <c r="BW54" s="517"/>
      <c r="BX54" s="517"/>
      <c r="BY54" s="518"/>
      <c r="BZ54" s="609"/>
      <c r="CA54" s="35"/>
    </row>
    <row r="55" spans="6:79" ht="16.5" customHeight="1" hidden="1">
      <c r="F55" s="481">
        <f>IF(NOT(F56=0),1,0)</f>
        <v>0</v>
      </c>
      <c r="G55" s="35">
        <f>IF(AND(G56&gt;0,NOT(G56="")),1,0)</f>
        <v>0</v>
      </c>
      <c r="Q55" s="56"/>
      <c r="R55" s="56"/>
      <c r="AY55" s="35"/>
      <c r="AZ55" s="35"/>
      <c r="BG55" s="35"/>
      <c r="BH55" s="35"/>
      <c r="BI55" s="271"/>
      <c r="BJ55" s="35"/>
      <c r="BK55" s="35"/>
      <c r="BN55" s="35"/>
      <c r="BO55" s="35"/>
      <c r="BP55" s="35"/>
      <c r="BQ55" s="35"/>
      <c r="BR55" s="516"/>
      <c r="BS55" s="516"/>
      <c r="BT55" s="516"/>
      <c r="BU55" s="520"/>
      <c r="BV55" s="520"/>
      <c r="BW55" s="517"/>
      <c r="BX55" s="517"/>
      <c r="BY55" s="518"/>
      <c r="BZ55" s="609"/>
      <c r="CA55" s="35"/>
    </row>
    <row r="56" spans="6:79" ht="16.5" customHeight="1" hidden="1">
      <c r="F56" s="35">
        <f>IF($F$57&gt;0,$F$57,IF($F$58&gt;0,$F$58,IF($F$59&gt;0,$F$59,IF($F$60&gt;0,$F$60,IF($F$61&gt;0,$F$61,IF($F$62&gt;0,$F$62,IF($F$63&gt;0,$F$63,0)))))))</f>
        <v>0</v>
      </c>
      <c r="G56" s="35">
        <f>IF(G57&gt;0,G57,IF(G58&gt;0,G58,IF(G59&gt;0,G59,IF(G60&gt;0,G60,IF(G61&gt;0,G61,IF(G62&gt;0,G62,IF(G63&gt;0,G63,0)))))))</f>
        <v>0</v>
      </c>
      <c r="Q56" s="56"/>
      <c r="R56" s="56"/>
      <c r="AY56" s="35"/>
      <c r="AZ56" s="35"/>
      <c r="BG56" s="35"/>
      <c r="BH56" s="35"/>
      <c r="BI56" s="271"/>
      <c r="BJ56" s="35"/>
      <c r="BK56" s="35"/>
      <c r="BN56" s="35"/>
      <c r="BO56" s="35"/>
      <c r="BP56" s="35"/>
      <c r="BQ56" s="35"/>
      <c r="BR56" s="516"/>
      <c r="BS56" s="516"/>
      <c r="BT56" s="516"/>
      <c r="BU56" s="520"/>
      <c r="BV56" s="520"/>
      <c r="BW56" s="517"/>
      <c r="BX56" s="517"/>
      <c r="BY56" s="518"/>
      <c r="BZ56" s="609"/>
      <c r="CA56" s="35"/>
    </row>
    <row r="57" spans="6:79" ht="16.5" customHeight="1" hidden="1">
      <c r="F57" s="35">
        <f>IF(AND(J9=0,SUM(P31:P46)&gt;0),"Water use is entered below with no water use entered above!",0)</f>
        <v>0</v>
      </c>
      <c r="G57" s="35">
        <f>IF(AND(OR(J8=0,J24=0),(SUM(H31:H46)+SUM(P31:P46)+SUM(R31:R46)&gt;0)),"Please check information entered below for accuracy!",0)</f>
        <v>0</v>
      </c>
      <c r="Q57" s="56"/>
      <c r="R57" s="56"/>
      <c r="AY57" s="35"/>
      <c r="AZ57" s="35"/>
      <c r="BG57" s="35"/>
      <c r="BH57" s="35"/>
      <c r="BI57" s="271"/>
      <c r="BJ57" s="35"/>
      <c r="BK57" s="35"/>
      <c r="BN57" s="35"/>
      <c r="BO57" s="35"/>
      <c r="BP57" s="35"/>
      <c r="BQ57" s="35"/>
      <c r="BR57" s="516"/>
      <c r="BS57" s="516"/>
      <c r="BT57" s="516"/>
      <c r="BU57" s="520"/>
      <c r="BV57" s="520"/>
      <c r="BW57" s="517"/>
      <c r="BX57" s="517"/>
      <c r="BY57" s="518"/>
      <c r="BZ57" s="609"/>
      <c r="CA57" s="35"/>
    </row>
    <row r="58" spans="7:79" ht="16.5" customHeight="1" hidden="1">
      <c r="G58" s="35">
        <f>IF(AND(J22&gt;0,J23=0,J22&gt;=J11),"1st tier is higher than or equal to the ERU/EDU, you should enter 'Actual 1st Tier Use!'",IF(AND(J22&gt;0,J20=0,J19&gt;0,J22&gt;=J11),"2d tier is higher thanor equal to the ERU/EDU, you should enter 'Actual 2d Tier Use!'",0))</f>
        <v>0</v>
      </c>
      <c r="Q58" s="56"/>
      <c r="R58" s="56"/>
      <c r="AG58" s="35" t="b">
        <f>IF(AND(R11&gt;0,J22=0,J23=0),(AG9*R11*J10),IF(AND(R11&gt;0,J22&gt;0,J23&gt;0,((AG9*J10*J22)-(AG9*J10*R11))-J23),0))</f>
        <v>0</v>
      </c>
      <c r="AY58" s="35"/>
      <c r="AZ58" s="35"/>
      <c r="BG58" s="35"/>
      <c r="BH58" s="35"/>
      <c r="BI58" s="271"/>
      <c r="BJ58" s="35"/>
      <c r="BK58" s="35"/>
      <c r="BN58" s="35"/>
      <c r="BO58" s="35"/>
      <c r="BP58" s="35"/>
      <c r="BQ58" s="35"/>
      <c r="BR58" s="516"/>
      <c r="BS58" s="516"/>
      <c r="BT58" s="650"/>
      <c r="BU58" s="520"/>
      <c r="BV58" s="520"/>
      <c r="BW58" s="517"/>
      <c r="BX58" s="517"/>
      <c r="BY58" s="518"/>
      <c r="BZ58" s="609"/>
      <c r="CA58" s="35"/>
    </row>
    <row r="59" spans="6:79" ht="16.5" customHeight="1" hidden="1">
      <c r="F59" s="35">
        <f>IF(OR(AND(J22=0,J23&gt;(AE9-R11)),AND(R11=0,NOT(C6),J22&gt;0,J23&gt;(R8*J10*J22)),(J23+J20)&gt;AE9,(J23+J20)&gt;AE9,AND(J19&gt;0,NOT(C6),J20&gt;0,J20&gt;((J19-J22)*R8*J10))),0,IF(OR(AND(J22=0,J23&gt;(AE9-R11)),AND(R11=0,NOT(C6),J22&gt;0,J23&gt;(R8*J10*J22)),(J23+J20)&gt;AE9,(J23+J20)&gt;AE9,AND(J19&gt;0,NOT(C6),J20&gt;0,J20&gt;((J19-J22)*R8*J10)),AND(J23=0,J20&gt;0,NOT(S10=""),(J23+J20)&gt;S10)),"Water use entered exceeds water that could be sold in tier!",0))</f>
        <v>0</v>
      </c>
      <c r="G59" s="35">
        <f>IF(AND((AG9*J10*J19)&gt;AE9,J20=0,R19=""),"2d Tier values exceeds water that could be sold, need actual use entry!",0)</f>
        <v>0</v>
      </c>
      <c r="Q59" s="56"/>
      <c r="R59" s="56"/>
      <c r="AG59" s="35">
        <f>J23-(AG9*J10*R11)</f>
        <v>0</v>
      </c>
      <c r="AT59" s="150"/>
      <c r="AY59" s="35"/>
      <c r="AZ59" s="35"/>
      <c r="BG59" s="35"/>
      <c r="BH59" s="35"/>
      <c r="BI59" s="271"/>
      <c r="BJ59" s="35"/>
      <c r="BK59" s="35"/>
      <c r="BN59" s="35"/>
      <c r="BO59" s="35"/>
      <c r="BP59" s="35"/>
      <c r="BQ59" s="35"/>
      <c r="BR59" s="516"/>
      <c r="BS59" s="516"/>
      <c r="BT59" s="516"/>
      <c r="BU59" s="520"/>
      <c r="BV59" s="520"/>
      <c r="BW59" s="517"/>
      <c r="BX59" s="517"/>
      <c r="BY59" s="518"/>
      <c r="BZ59" s="609"/>
      <c r="CA59" s="35"/>
    </row>
    <row r="60" spans="6:79" ht="16.5" customHeight="1" hidden="1">
      <c r="F60" s="35">
        <f>IF((J23+J20+BX7)&gt;AE9,"More water billed than used!",IF((J23+J20)&gt;(AE9-R11),"This means no included water was used!",0))</f>
        <v>0</v>
      </c>
      <c r="G60" s="35">
        <f>IF(OR(AND(J21&gt;0,J24&gt;J21),AND(J18&gt;0,J21&gt;J18)),"This is a declining rate structure!",IF(J22&gt;15000,"Tier amounts should be checked for accuracy!",0))</f>
        <v>0</v>
      </c>
      <c r="Q60" s="56"/>
      <c r="R60" s="56"/>
      <c r="AY60" s="35"/>
      <c r="AZ60" s="35"/>
      <c r="BG60" s="35"/>
      <c r="BH60" s="35"/>
      <c r="BI60" s="271"/>
      <c r="BJ60" s="35"/>
      <c r="BK60" s="35"/>
      <c r="BN60" s="35"/>
      <c r="BO60" s="35"/>
      <c r="BP60" s="35"/>
      <c r="BQ60" s="35"/>
      <c r="BR60" s="516"/>
      <c r="BS60" s="516"/>
      <c r="BT60" s="516"/>
      <c r="BU60" s="520"/>
      <c r="BV60" s="520"/>
      <c r="BW60" s="517"/>
      <c r="BX60" s="517"/>
      <c r="BY60" s="518"/>
      <c r="BZ60" s="609"/>
      <c r="CA60" s="35"/>
    </row>
    <row r="61" spans="6:79" ht="16.5" customHeight="1" hidden="1">
      <c r="F61" s="35">
        <f>IF(OR(AND(C6,J22&gt;0,J23&gt;0,J23&gt;(J22*AG9*12)),AND(J19&gt;0,J20&gt;0,J20&gt;((J19-J22)*AG9*12))),"Water use entered is more than possible in tier!",IF(OR(AND(NOT(C6),J22&gt;0,J23&gt;0,J23&gt;(J22*AG9*J10)),AND(J19&gt;0,J20&gt;0,J20&gt;((J19-J22)*AG9*J10))),"Water use entered is more than possible in tier!",0))</f>
        <v>0</v>
      </c>
      <c r="G61" s="35">
        <f>IF(AND(C6,J9=0,J10&gt;0,J13&gt;0,J24=0),"This is a flat rate structure with no charges for wastewater used",IF(AND(J9=0,J10&gt;0,J13&gt;0,J24=0),"This is a flat rate structure with no charges for water used",0))</f>
        <v>0</v>
      </c>
      <c r="Q61" s="56"/>
      <c r="R61" s="56"/>
      <c r="AC61" s="280"/>
      <c r="AY61" s="35"/>
      <c r="AZ61" s="35"/>
      <c r="BG61" s="35"/>
      <c r="BH61" s="35"/>
      <c r="BI61" s="271"/>
      <c r="BJ61" s="35"/>
      <c r="BK61" s="35"/>
      <c r="BN61" s="35"/>
      <c r="BO61" s="35"/>
      <c r="BP61" s="35"/>
      <c r="BQ61" s="35"/>
      <c r="BR61" s="516"/>
      <c r="BS61" s="516"/>
      <c r="BT61" s="516"/>
      <c r="BU61" s="520"/>
      <c r="BV61" s="520"/>
      <c r="BW61" s="517"/>
      <c r="BX61" s="517"/>
      <c r="BY61" s="518"/>
      <c r="BZ61" s="609"/>
      <c r="CA61" s="35"/>
    </row>
    <row r="62" spans="6:79" ht="16.5" customHeight="1" hidden="1">
      <c r="F62" s="276">
        <f>IF(AND(J22=0,R11=0,J23&gt;0),"This entry invalid without tier data above!",IF(AND(R11&gt;0,J18&gt;0,BX7=0),"You must manually enter the 3d tier water sold in cell BX7 with included water!",0))</f>
        <v>0</v>
      </c>
      <c r="G62" s="35">
        <f>IF(AND(C7,R11&gt;0,J22=0,J23&gt;0),"Check accuracy of 1st Tier Billed Cubic Feet entry!",IF(AND(R11&gt;0,J22=0,J23&gt;0),"Check accuracy of 1st Tier Billed Gallons entry!",IF(AND(R11&gt;0,J22=0,J23=0,J24&gt;0),"No actual 'billed water' entry assumes all customers used included water!",IF(AND(R11&gt;0,J22&gt;0,(AG9*J10*J22)&gt;AE10,J23=0,J24&gt;0),"No 1st tier 'billed water' entry assumes all customers used included water!",IF(OR(AND(C6,J22&gt;0,J23=0),AND(C6,J19&gt;0,J20=0)),"No actual 'Tier Use' entry assumes all customers used maximum wastewater in that tier!",IF(OR(AND(J22&gt;0,J23=0),AND(J19&gt;0,J20=0)),"No actual 'Tier Use' entry assumes all customers used maximum water in that tier!",0))))))</f>
        <v>0</v>
      </c>
      <c r="Q62" s="56"/>
      <c r="R62" s="56"/>
      <c r="AC62" s="280"/>
      <c r="AY62" s="35"/>
      <c r="AZ62" s="35"/>
      <c r="BG62" s="35"/>
      <c r="BH62" s="35"/>
      <c r="BI62" s="271"/>
      <c r="BJ62" s="35"/>
      <c r="BK62" s="35"/>
      <c r="BN62" s="35"/>
      <c r="BO62" s="35"/>
      <c r="BP62" s="35"/>
      <c r="BQ62" s="35"/>
      <c r="BR62" s="516"/>
      <c r="BS62" s="516"/>
      <c r="BT62" s="516"/>
      <c r="BU62" s="520"/>
      <c r="BV62" s="520"/>
      <c r="BW62" s="517"/>
      <c r="BX62" s="517"/>
      <c r="BY62" s="518"/>
      <c r="BZ62" s="609"/>
      <c r="CA62" s="35"/>
    </row>
    <row r="63" spans="5:79" ht="16.5" customHeight="1" hidden="1">
      <c r="E63" s="35">
        <f>IF(AND(J23&gt;0,NOT(R11&gt;0),R19="",(OR(AND(J22=0,J23&lt;(AE9-(AG9*J10*R11))),AND(J22&lt;J11,J23&lt;((AG9*J10*J22)-(AG9*J10*R11))),AND(J22&gt;J11,J23&gt;0,J23&lt;AE9-(AG9*J10*R11))))),1,0)</f>
        <v>0</v>
      </c>
      <c r="F63" s="276">
        <f>IF(AND(C7,J22&gt;0,R10&lt;Q77),"With the value entered as billed in the 1st tier, you cannot bill less than "&amp;TEXT(Q77,0)&amp;" total cubic feet, check the actual use entries for accuracy!",IF(AND(J22&gt;0,R10&lt;Q77),"With the value entered as billed in the 1st tier, you cannot bill less than "&amp;TEXT(Q77,0)&amp;" total gallons, check the actual use entries for accuracy!",0))</f>
        <v>0</v>
      </c>
      <c r="G63" s="35">
        <f>IF(SUM(SUM(H31:H46)+SUM(R31:R46)+SUM(Q31:Q46))&gt;0,"Please check the entries below for accuracy!",0)</f>
        <v>0</v>
      </c>
      <c r="Q63" s="56"/>
      <c r="R63" s="642"/>
      <c r="AT63" s="994"/>
      <c r="AU63" s="994"/>
      <c r="AY63" s="35"/>
      <c r="AZ63" s="35"/>
      <c r="BG63" s="35"/>
      <c r="BH63" s="35"/>
      <c r="BI63" s="271"/>
      <c r="BJ63" s="35"/>
      <c r="BK63" s="35"/>
      <c r="BN63" s="35"/>
      <c r="BO63" s="35"/>
      <c r="BP63" s="35"/>
      <c r="BQ63" s="35"/>
      <c r="BR63" s="516"/>
      <c r="BS63" s="516"/>
      <c r="BT63" s="516"/>
      <c r="BU63" s="520"/>
      <c r="BV63" s="520"/>
      <c r="BW63" s="517"/>
      <c r="BX63" s="517"/>
      <c r="BY63" s="518"/>
      <c r="BZ63" s="609"/>
      <c r="CA63" s="35"/>
    </row>
    <row r="64" spans="17:79" ht="16.5" customHeight="1" hidden="1">
      <c r="Q64" s="56"/>
      <c r="R64" s="642"/>
      <c r="AT64" s="994"/>
      <c r="AU64" s="994"/>
      <c r="AY64" s="35"/>
      <c r="AZ64" s="35"/>
      <c r="BG64" s="35"/>
      <c r="BH64" s="35"/>
      <c r="BI64" s="271"/>
      <c r="BJ64" s="35"/>
      <c r="BK64" s="35"/>
      <c r="BN64" s="35"/>
      <c r="BO64" s="35"/>
      <c r="BP64" s="35"/>
      <c r="BQ64" s="35"/>
      <c r="BR64" s="516"/>
      <c r="BS64" s="516"/>
      <c r="BT64" s="516"/>
      <c r="BU64" s="520"/>
      <c r="BV64" s="520"/>
      <c r="BW64" s="517"/>
      <c r="BX64" s="517"/>
      <c r="BY64" s="518"/>
      <c r="BZ64" s="609"/>
      <c r="CA64" s="35"/>
    </row>
    <row r="65" spans="17:79" ht="16.5" customHeight="1" hidden="1">
      <c r="Q65" s="56"/>
      <c r="R65" s="56"/>
      <c r="AY65" s="35"/>
      <c r="AZ65" s="35"/>
      <c r="BG65" s="35"/>
      <c r="BH65" s="35"/>
      <c r="BI65" s="271"/>
      <c r="BJ65" s="35"/>
      <c r="BK65" s="35"/>
      <c r="BN65" s="35"/>
      <c r="BO65" s="35"/>
      <c r="BP65" s="35"/>
      <c r="BQ65" s="35"/>
      <c r="BR65" s="516"/>
      <c r="BS65" s="516"/>
      <c r="BT65" s="516"/>
      <c r="BU65" s="520"/>
      <c r="BV65" s="520"/>
      <c r="BW65" s="517"/>
      <c r="BX65" s="517"/>
      <c r="BY65" s="518"/>
      <c r="BZ65" s="609"/>
      <c r="CA65" s="35"/>
    </row>
    <row r="66" spans="17:79" ht="16.5" customHeight="1" hidden="1">
      <c r="Q66" s="56"/>
      <c r="R66" s="56"/>
      <c r="AY66" s="35"/>
      <c r="AZ66" s="35"/>
      <c r="BG66" s="35"/>
      <c r="BH66" s="35"/>
      <c r="BI66" s="271"/>
      <c r="BJ66" s="35"/>
      <c r="BK66" s="35"/>
      <c r="BN66" s="35"/>
      <c r="BO66" s="35"/>
      <c r="BP66" s="35"/>
      <c r="BQ66" s="35"/>
      <c r="BR66" s="516"/>
      <c r="BS66" s="516"/>
      <c r="BT66" s="516"/>
      <c r="BU66" s="520"/>
      <c r="BV66" s="520"/>
      <c r="BW66" s="517"/>
      <c r="BX66" s="517"/>
      <c r="BY66" s="518"/>
      <c r="BZ66" s="609"/>
      <c r="CA66" s="35"/>
    </row>
    <row r="67" spans="6:79" ht="16.5" customHeight="1" hidden="1">
      <c r="F67" s="481">
        <f>IF(NOT(F68=0),1,0)</f>
        <v>1</v>
      </c>
      <c r="Q67" s="56"/>
      <c r="R67" s="56"/>
      <c r="AY67" s="35"/>
      <c r="AZ67" s="35"/>
      <c r="BG67" s="35"/>
      <c r="BH67" s="35"/>
      <c r="BI67" s="271"/>
      <c r="BJ67" s="35"/>
      <c r="BK67" s="35"/>
      <c r="BN67" s="35"/>
      <c r="BO67" s="35"/>
      <c r="BP67" s="35"/>
      <c r="BQ67" s="35"/>
      <c r="BR67" s="516"/>
      <c r="BS67" s="516"/>
      <c r="BT67" s="516"/>
      <c r="BU67" s="520"/>
      <c r="BV67" s="520"/>
      <c r="BW67" s="517"/>
      <c r="BX67" s="517"/>
      <c r="BY67" s="518"/>
      <c r="BZ67" s="609"/>
      <c r="CA67" s="35"/>
    </row>
    <row r="68" spans="5:79" ht="16.5" customHeight="1" hidden="1">
      <c r="E68" s="35">
        <f>IF(F69&gt;0,1,0)</f>
        <v>0</v>
      </c>
      <c r="F68" s="276" t="str">
        <f>IF(F69&gt;0,F69,IF(F70&gt;0,F70,IF(F71&gt;0,F71,IF(F72&gt;0,F72,IF(F73&gt;0,F73,IF(F74&gt;0,F74,0))))))</f>
        <v>Missing Information!</v>
      </c>
      <c r="Q68" s="56" t="s">
        <v>166</v>
      </c>
      <c r="R68" s="56"/>
      <c r="AY68" s="35"/>
      <c r="AZ68" s="35"/>
      <c r="BG68" s="35"/>
      <c r="BH68" s="35"/>
      <c r="BI68" s="271"/>
      <c r="BJ68" s="35"/>
      <c r="BK68" s="35"/>
      <c r="BN68" s="35"/>
      <c r="BO68" s="35"/>
      <c r="BP68" s="35"/>
      <c r="BQ68" s="35"/>
      <c r="BR68" s="516"/>
      <c r="BS68" s="516"/>
      <c r="BT68" s="516"/>
      <c r="BU68" s="520"/>
      <c r="BV68" s="520"/>
      <c r="BW68" s="517"/>
      <c r="BX68" s="517"/>
      <c r="BY68" s="518"/>
      <c r="BZ68" s="609"/>
      <c r="CA68" s="35"/>
    </row>
    <row r="69" spans="6:79" ht="16.5" customHeight="1" hidden="1">
      <c r="F69" s="276">
        <f>IF(AND(C7,R11&gt;0,J23&gt;Q71,Q71&gt;0),"With included water entered, you cannot bill more than "&amp;TEXT(((AG9*J10*J22)-(AG9*J10*R11)),0)&amp;" cubic feet in 1st tier!",IF(AND(R11&gt;0,J23&gt;Q71,Q71&gt;0),"With the included water entered, you cannot bill more than "&amp;TEXT(Q71,0)&amp;" gallons in 1st tier!",IF(AND(C7,R11&gt;0,J23&gt;0,J23&lt;(J22-R11)),"With the included water entered, you cannot bill less than "&amp;TEXT(J22-R11,0)&amp;" cubic feet in 1st tier, check data for accuracy!",IF(AND(R11&gt;0,J23&gt;0,J23&lt;(J22-R11)),"With the included water entered, you cannot bill less than "&amp;TEXT(J22-R11,0)&amp;" gallons in 1st tier, check data for accuracy!",0))))</f>
        <v>0</v>
      </c>
      <c r="Q69" s="1213">
        <f>AG9*J22*12</f>
        <v>0</v>
      </c>
      <c r="R69" s="1213"/>
      <c r="AY69" s="35"/>
      <c r="AZ69" s="35"/>
      <c r="BG69" s="35"/>
      <c r="BH69" s="35"/>
      <c r="BI69" s="271"/>
      <c r="BJ69" s="35"/>
      <c r="BK69" s="35"/>
      <c r="BN69" s="35"/>
      <c r="BO69" s="35"/>
      <c r="BP69" s="35"/>
      <c r="BQ69" s="35"/>
      <c r="BR69" s="516"/>
      <c r="BS69" s="516"/>
      <c r="BT69" s="516"/>
      <c r="BU69" s="520"/>
      <c r="BV69" s="520"/>
      <c r="BW69" s="517"/>
      <c r="BX69" s="517"/>
      <c r="BY69" s="518"/>
      <c r="BZ69" s="609"/>
      <c r="CA69" s="35"/>
    </row>
    <row r="70" spans="6:79" ht="16.5" customHeight="1" hidden="1">
      <c r="F70" s="35">
        <f>IF(AND(C6,J23&gt;AE9),"Wastewater use entered is greater than wastewater sold!",IF(AND(C6,J20+J23&gt;R9,NOT(R9="")),"Wastewater use entered is greater than wastewater produced!",IF(AND(C6,R11&gt;J11,J23=0),"You MUST enter some wastewater as sold!",IF(J23&gt;AE9,"Water use entered is greater than water sold!",IF(AND(NOT(C6),R11=0,J20+J23&gt;(J9+SUM(P31:P46))),"Water use entered is greater than water produced!",IF(AND(R11&gt;0,AJ10&lt;=0),"You MUST enter some water as sold!",0))))))</f>
        <v>0</v>
      </c>
      <c r="Q70" s="56" t="s">
        <v>167</v>
      </c>
      <c r="R70" s="56"/>
      <c r="AY70" s="35"/>
      <c r="AZ70" s="35"/>
      <c r="BG70" s="35"/>
      <c r="BH70" s="35"/>
      <c r="BI70" s="271"/>
      <c r="BJ70" s="35"/>
      <c r="BK70" s="35"/>
      <c r="BN70" s="35"/>
      <c r="BO70" s="35"/>
      <c r="BP70" s="35"/>
      <c r="BQ70" s="35"/>
      <c r="BR70" s="516"/>
      <c r="BS70" s="516"/>
      <c r="BT70" s="516"/>
      <c r="BU70" s="520"/>
      <c r="BV70" s="520"/>
      <c r="BW70" s="517"/>
      <c r="BX70" s="517"/>
      <c r="BY70" s="518"/>
      <c r="BZ70" s="609"/>
      <c r="CA70" s="35"/>
    </row>
    <row r="71" spans="6:79" ht="16.5" customHeight="1" hidden="1">
      <c r="F71" s="35">
        <f>IF(AND(R11&gt;0,J22&gt;0,J23=0,F58=0),"With included water and tiers, you MUST enter 'actual billed water' in each tier!",IF(AND(R11&gt;0,J22&gt;0,J20=0,F58=0,F63=0),"With included water and tiers, you MUST enter 'actual billed water' in 2d tier!",0))</f>
        <v>0</v>
      </c>
      <c r="G71" s="600"/>
      <c r="Q71" s="1213">
        <f>IF(Q69&gt;0,Q69-Q73,0)</f>
        <v>0</v>
      </c>
      <c r="R71" s="1213"/>
      <c r="S71" s="599"/>
      <c r="AY71" s="35"/>
      <c r="AZ71" s="35"/>
      <c r="BG71" s="35"/>
      <c r="BH71" s="35"/>
      <c r="BI71" s="271"/>
      <c r="BJ71" s="35"/>
      <c r="BK71" s="35"/>
      <c r="BN71" s="35"/>
      <c r="BO71" s="35"/>
      <c r="BP71" s="35"/>
      <c r="BQ71" s="35"/>
      <c r="BR71" s="516"/>
      <c r="BS71" s="516"/>
      <c r="BT71" s="516"/>
      <c r="BU71" s="520"/>
      <c r="BV71" s="520"/>
      <c r="BW71" s="517"/>
      <c r="BX71" s="517"/>
      <c r="BY71" s="518"/>
      <c r="BZ71" s="609"/>
      <c r="CA71" s="35"/>
    </row>
    <row r="72" spans="6:79" ht="16.5" customHeight="1" hidden="1">
      <c r="F72" s="35" t="str">
        <f>IF(OR(J8=0,J10=0,AND(J10&gt;0,J13=0),AND(J19=0,NOT(R11&gt;0),J20&gt;0,J22&lt;J11),AND(J9&gt;0,J24=0),R13=0,AND(NOT(J17=""),J18=0),AND(A31&gt;0,H31=0),AND(J9&gt;0,A31&gt;0,J31=0),AND(J19&gt;0,J18=0),AND(J18&gt;0,J19=0)),"Missing Information!",0)</f>
        <v>Missing Information!</v>
      </c>
      <c r="Q72" s="994" t="s">
        <v>164</v>
      </c>
      <c r="R72" s="994"/>
      <c r="S72" s="1153"/>
      <c r="Y72" s="39">
        <f>IF(AND(C6,C7,R11&gt;0,J22&gt;0,J23&gt;0,J23&gt;((AG9*12*J22)-(AG9*12*R11))),"With included water entered, you cannot bill more than "&amp;TEXT(((AG9*12*J22)-(AG9*12*R11)),0)&amp;" cubic feet in 1st tier!",IF(AND(C6,R11&gt;0,J22&gt;0,J23&gt;0,J23&gt;((AG9*12*J22)-(AG9*12*R11))),"With the included water entered, you cannot bill more than "&amp;TEXT(((AG9*12*J22)-(AG9*12*R11)),0)&amp;" gallons in 1st tier!",IF(AND(NOT(C6),C7,R11&gt;0,J22&gt;0,J23&gt;0,J23&gt;((AG9*J10*J22)-(AG9*J10*R11))),"With included water entered, you cannot bill more than "&amp;TEXT(((AG9*J10*J22)-(AG9*J10*R11)),0)&amp;" cubic feet in 1st tier!",IF(AND(NOT(C6),R11&gt;0,J22&gt;0,J23&gt;0,J23&gt;((AG9*J10*J22)-(AG9*J10*R11))),"With the included water entered, you cannot bill more than "&amp;TEXT(((AG9*J10*J22)-(AG9*J10*R11)),0)&amp;" gallons in 1st tier!",0))))</f>
        <v>0</v>
      </c>
      <c r="AY72" s="35"/>
      <c r="AZ72" s="35"/>
      <c r="BG72" s="35"/>
      <c r="BH72" s="35"/>
      <c r="BI72" s="271"/>
      <c r="BJ72" s="35"/>
      <c r="BK72" s="35"/>
      <c r="BN72" s="35"/>
      <c r="BO72" s="35"/>
      <c r="BP72" s="35"/>
      <c r="BQ72" s="35"/>
      <c r="BR72" s="516"/>
      <c r="BS72" s="516"/>
      <c r="BT72" s="516"/>
      <c r="BU72" s="520"/>
      <c r="BV72" s="520"/>
      <c r="BW72" s="517"/>
      <c r="BX72" s="517"/>
      <c r="BY72" s="518"/>
      <c r="BZ72" s="609"/>
      <c r="CA72" s="35"/>
    </row>
    <row r="73" spans="6:79" ht="16.5" customHeight="1" hidden="1">
      <c r="F73" s="35">
        <f>IF(AND(J18&gt;0,J18=J21),"The rate for the 3d tier is the same as the 2d tier rate!",IF(AND(J21&gt;0,J21=J24),"The rate for the 2d tier is the same as the 1st tier rate!",0))</f>
        <v>0</v>
      </c>
      <c r="Q73" s="1224">
        <f>IF(J24&gt;0,AG9*J10*R11,0)</f>
        <v>0</v>
      </c>
      <c r="R73" s="1224"/>
      <c r="Y73" s="39" t="e">
        <f>J23/(J22-R11)*R11</f>
        <v>#DIV/0!</v>
      </c>
      <c r="AY73" s="35"/>
      <c r="AZ73" s="35"/>
      <c r="BG73" s="35"/>
      <c r="BH73" s="35"/>
      <c r="BI73" s="271"/>
      <c r="BJ73" s="35"/>
      <c r="BK73" s="35"/>
      <c r="BN73" s="35"/>
      <c r="BO73" s="35"/>
      <c r="BP73" s="35"/>
      <c r="BQ73" s="35"/>
      <c r="BR73" s="516"/>
      <c r="BS73" s="516"/>
      <c r="BT73" s="516"/>
      <c r="BU73" s="520"/>
      <c r="BV73" s="520"/>
      <c r="BW73" s="517"/>
      <c r="BX73" s="517"/>
      <c r="BY73" s="518"/>
      <c r="BZ73" s="609"/>
      <c r="CA73" s="35"/>
    </row>
    <row r="74" spans="6:79" ht="16.5" customHeight="1" hidden="1">
      <c r="F74" s="35">
        <f>IF(AND(C7,J22&gt;0,R11&gt;0,(J23+J20+BX7)&gt;Q75),"With the 1st tier water entered as sold, the total water billed cannot be more than "&amp;TEXT(Q75,0)&amp;" cubic feet!",IF(AND(R11&gt;0,J22&gt;0,(J23+J20+BX7)&gt;Q75),"With the 1st tier water entered as sold, the total water billed cannot be more than "&amp;TEXT(Q75,0)&amp;" gallons!",0))</f>
        <v>0</v>
      </c>
      <c r="Q74" s="1223" t="s">
        <v>165</v>
      </c>
      <c r="R74" s="1223"/>
      <c r="AY74" s="35"/>
      <c r="AZ74" s="35"/>
      <c r="BG74" s="35"/>
      <c r="BH74" s="35"/>
      <c r="BI74" s="271"/>
      <c r="BJ74" s="35"/>
      <c r="BK74" s="35"/>
      <c r="BN74" s="35"/>
      <c r="BO74" s="35"/>
      <c r="BP74" s="35"/>
      <c r="BQ74" s="35"/>
      <c r="BR74" s="516"/>
      <c r="BS74" s="516"/>
      <c r="BU74" s="520"/>
      <c r="BV74" s="520"/>
      <c r="BW74" s="517"/>
      <c r="BX74" s="517"/>
      <c r="BY74" s="518"/>
      <c r="BZ74" s="609"/>
      <c r="CA74" s="35"/>
    </row>
    <row r="75" spans="6:79" ht="16.5" customHeight="1" hidden="1">
      <c r="F75" s="481">
        <f>IF(R13&gt;R14,"Rates are not high enough to meet Revenues Needed!",0)</f>
        <v>0</v>
      </c>
      <c r="Q75" s="1213">
        <f>IF(AND(AE9&gt;0,J23&gt;0,R11&gt;0,R11&lt;J11),AE9-(J23/(J22-R11)*R11),0)</f>
        <v>0</v>
      </c>
      <c r="R75" s="1213"/>
      <c r="AY75" s="35"/>
      <c r="AZ75" s="35"/>
      <c r="BG75" s="35"/>
      <c r="BH75" s="35"/>
      <c r="BI75" s="271"/>
      <c r="BJ75" s="35"/>
      <c r="BK75" s="35"/>
      <c r="BN75" s="35"/>
      <c r="BO75" s="35"/>
      <c r="BP75" s="35"/>
      <c r="BQ75" s="35"/>
      <c r="BR75" s="516"/>
      <c r="BS75" s="516"/>
      <c r="BT75" s="516"/>
      <c r="BU75" s="520"/>
      <c r="BV75" s="520"/>
      <c r="BW75" s="517"/>
      <c r="BX75" s="517"/>
      <c r="BY75" s="518"/>
      <c r="BZ75" s="609"/>
      <c r="CA75" s="35"/>
    </row>
    <row r="76" spans="17:79" ht="12" customHeight="1" hidden="1">
      <c r="Q76" s="56" t="s">
        <v>168</v>
      </c>
      <c r="R76" s="56"/>
      <c r="AY76" s="35"/>
      <c r="AZ76" s="35"/>
      <c r="BG76" s="35"/>
      <c r="BH76" s="35"/>
      <c r="BI76" s="271"/>
      <c r="BJ76" s="35"/>
      <c r="BK76" s="35"/>
      <c r="BN76" s="35"/>
      <c r="BO76" s="35"/>
      <c r="BP76" s="35"/>
      <c r="BQ76" s="35"/>
      <c r="BR76" s="516"/>
      <c r="BS76" s="516"/>
      <c r="BT76" s="516"/>
      <c r="BU76" s="520"/>
      <c r="BV76" s="520"/>
      <c r="BW76" s="517"/>
      <c r="BX76" s="517"/>
      <c r="BY76" s="518"/>
      <c r="BZ76" s="609"/>
      <c r="CA76" s="35"/>
    </row>
    <row r="77" spans="17:18" ht="12.75" hidden="1">
      <c r="Q77" s="1213">
        <f>IF(AND(Q73&gt;0,Q73&lt;AE9),AE9-Q73,0)</f>
        <v>0</v>
      </c>
      <c r="R77" s="1213"/>
    </row>
    <row r="78" spans="13:18" ht="12.75" hidden="1">
      <c r="M78" s="643"/>
      <c r="N78" s="8"/>
      <c r="O78" s="599"/>
      <c r="P78" s="645"/>
      <c r="Q78" s="645"/>
      <c r="R78" s="56"/>
    </row>
    <row r="79" spans="13:17" ht="12.75">
      <c r="M79" s="643"/>
      <c r="N79" s="8"/>
      <c r="O79" s="599"/>
      <c r="P79" s="645"/>
      <c r="Q79" s="645"/>
    </row>
    <row r="80" spans="7:17" ht="12.75">
      <c r="G80" s="150"/>
      <c r="M80" s="643"/>
      <c r="N80" s="8"/>
      <c r="O80" s="599"/>
      <c r="P80" s="645"/>
      <c r="Q80" s="645"/>
    </row>
    <row r="81" spans="13:17" ht="12.75">
      <c r="M81" s="643"/>
      <c r="N81" s="8"/>
      <c r="O81" s="599"/>
      <c r="P81" s="645"/>
      <c r="Q81" s="645"/>
    </row>
    <row r="82" spans="13:17" ht="12.75">
      <c r="M82" s="643"/>
      <c r="N82" s="8"/>
      <c r="O82" s="599"/>
      <c r="P82" s="645"/>
      <c r="Q82" s="645"/>
    </row>
    <row r="83" spans="13:17" ht="12.75">
      <c r="M83" s="39"/>
      <c r="N83" s="39"/>
      <c r="O83" s="599"/>
      <c r="P83" s="645"/>
      <c r="Q83" s="645"/>
    </row>
  </sheetData>
  <sheetProtection password="CC0D" sheet="1" objects="1" scenarios="1" formatCells="0" formatColumns="0" formatRows="0"/>
  <mergeCells count="285">
    <mergeCell ref="Q75:R75"/>
    <mergeCell ref="Q72:S72"/>
    <mergeCell ref="Q69:R69"/>
    <mergeCell ref="Q77:R77"/>
    <mergeCell ref="Q74:R74"/>
    <mergeCell ref="Q73:R73"/>
    <mergeCell ref="BU51:BV51"/>
    <mergeCell ref="AF7:AF8"/>
    <mergeCell ref="Q71:R71"/>
    <mergeCell ref="BT13:BV13"/>
    <mergeCell ref="BT14:BV15"/>
    <mergeCell ref="BV23:BZ23"/>
    <mergeCell ref="BV24:BZ24"/>
    <mergeCell ref="BX17:CF17"/>
    <mergeCell ref="BT12:BV12"/>
    <mergeCell ref="BX19:CI19"/>
    <mergeCell ref="AE7:AE8"/>
    <mergeCell ref="C12:S12"/>
    <mergeCell ref="R11:S11"/>
    <mergeCell ref="R10:S10"/>
    <mergeCell ref="J11:L11"/>
    <mergeCell ref="M10:Q10"/>
    <mergeCell ref="C8:I8"/>
    <mergeCell ref="M9:Q9"/>
    <mergeCell ref="D7:R7"/>
    <mergeCell ref="M21:Q21"/>
    <mergeCell ref="R19:S19"/>
    <mergeCell ref="M20:Q20"/>
    <mergeCell ref="J20:L20"/>
    <mergeCell ref="C17:I17"/>
    <mergeCell ref="J8:L8"/>
    <mergeCell ref="C9:I9"/>
    <mergeCell ref="J14:L14"/>
    <mergeCell ref="J15:L15"/>
    <mergeCell ref="J16:L16"/>
    <mergeCell ref="C13:I13"/>
    <mergeCell ref="C11:I11"/>
    <mergeCell ref="C10:I10"/>
    <mergeCell ref="BX16:CJ16"/>
    <mergeCell ref="BU6:BV6"/>
    <mergeCell ref="BW9:BX12"/>
    <mergeCell ref="BX6:BY6"/>
    <mergeCell ref="BT7:BV8"/>
    <mergeCell ref="BT9:BV9"/>
    <mergeCell ref="BU10:BV10"/>
    <mergeCell ref="BT11:BV11"/>
    <mergeCell ref="M13:Q13"/>
    <mergeCell ref="R17:S17"/>
    <mergeCell ref="BT17:BV18"/>
    <mergeCell ref="M18:Q18"/>
    <mergeCell ref="M15:Q15"/>
    <mergeCell ref="BT16:BV16"/>
    <mergeCell ref="R15:S15"/>
    <mergeCell ref="R16:S16"/>
    <mergeCell ref="G6:R6"/>
    <mergeCell ref="M17:Q17"/>
    <mergeCell ref="M16:Q16"/>
    <mergeCell ref="J10:L10"/>
    <mergeCell ref="C14:I14"/>
    <mergeCell ref="M11:Q11"/>
    <mergeCell ref="R13:S13"/>
    <mergeCell ref="J13:L13"/>
    <mergeCell ref="C15:I15"/>
    <mergeCell ref="C16:I16"/>
    <mergeCell ref="BT20:BV21"/>
    <mergeCell ref="R21:S21"/>
    <mergeCell ref="R20:S20"/>
    <mergeCell ref="J17:L17"/>
    <mergeCell ref="M19:Q19"/>
    <mergeCell ref="J18:L18"/>
    <mergeCell ref="BT19:BV19"/>
    <mergeCell ref="R18:S18"/>
    <mergeCell ref="J19:L19"/>
    <mergeCell ref="J21:L21"/>
    <mergeCell ref="P45:Q45"/>
    <mergeCell ref="R37:S37"/>
    <mergeCell ref="R35:S35"/>
    <mergeCell ref="R36:S36"/>
    <mergeCell ref="R41:S41"/>
    <mergeCell ref="P44:Q44"/>
    <mergeCell ref="P41:Q41"/>
    <mergeCell ref="P42:Q42"/>
    <mergeCell ref="P43:Q43"/>
    <mergeCell ref="R44:S44"/>
    <mergeCell ref="J37:K37"/>
    <mergeCell ref="L37:M37"/>
    <mergeCell ref="N37:O37"/>
    <mergeCell ref="J38:K38"/>
    <mergeCell ref="N42:O42"/>
    <mergeCell ref="J24:L24"/>
    <mergeCell ref="J34:K34"/>
    <mergeCell ref="L35:M35"/>
    <mergeCell ref="L32:M32"/>
    <mergeCell ref="L34:M34"/>
    <mergeCell ref="L31:M31"/>
    <mergeCell ref="J31:K31"/>
    <mergeCell ref="L38:M38"/>
    <mergeCell ref="N38:O38"/>
    <mergeCell ref="AE2:AF2"/>
    <mergeCell ref="R9:S9"/>
    <mergeCell ref="A5:Y5"/>
    <mergeCell ref="M8:Q8"/>
    <mergeCell ref="D6:F6"/>
    <mergeCell ref="R8:S8"/>
    <mergeCell ref="J9:L9"/>
    <mergeCell ref="A6:B16"/>
    <mergeCell ref="M14:Q14"/>
    <mergeCell ref="R14:S14"/>
    <mergeCell ref="N46:O46"/>
    <mergeCell ref="J42:K42"/>
    <mergeCell ref="J45:K45"/>
    <mergeCell ref="N44:O44"/>
    <mergeCell ref="N45:O45"/>
    <mergeCell ref="J44:K44"/>
    <mergeCell ref="J46:K46"/>
    <mergeCell ref="J43:K43"/>
    <mergeCell ref="L46:M46"/>
    <mergeCell ref="L42:M42"/>
    <mergeCell ref="C22:I22"/>
    <mergeCell ref="A22:B24"/>
    <mergeCell ref="T46:U46"/>
    <mergeCell ref="R42:S42"/>
    <mergeCell ref="T44:U44"/>
    <mergeCell ref="T45:U45"/>
    <mergeCell ref="R46:S46"/>
    <mergeCell ref="R43:S43"/>
    <mergeCell ref="R45:S45"/>
    <mergeCell ref="T42:U42"/>
    <mergeCell ref="A33:G33"/>
    <mergeCell ref="R23:S23"/>
    <mergeCell ref="C23:I23"/>
    <mergeCell ref="A25:E26"/>
    <mergeCell ref="H32:I32"/>
    <mergeCell ref="P31:Q31"/>
    <mergeCell ref="N33:O33"/>
    <mergeCell ref="P33:Q33"/>
    <mergeCell ref="R33:S33"/>
    <mergeCell ref="N32:O32"/>
    <mergeCell ref="J22:L22"/>
    <mergeCell ref="J23:L23"/>
    <mergeCell ref="M23:Q23"/>
    <mergeCell ref="M24:Q24"/>
    <mergeCell ref="M22:Q22"/>
    <mergeCell ref="H34:I34"/>
    <mergeCell ref="A17:B18"/>
    <mergeCell ref="C19:I19"/>
    <mergeCell ref="H31:I31"/>
    <mergeCell ref="C24:I24"/>
    <mergeCell ref="A19:B21"/>
    <mergeCell ref="A32:G32"/>
    <mergeCell ref="C18:I18"/>
    <mergeCell ref="C21:I21"/>
    <mergeCell ref="H33:I33"/>
    <mergeCell ref="L36:M36"/>
    <mergeCell ref="J36:K36"/>
    <mergeCell ref="J35:K35"/>
    <mergeCell ref="J32:K32"/>
    <mergeCell ref="L33:M33"/>
    <mergeCell ref="J33:K33"/>
    <mergeCell ref="H36:I36"/>
    <mergeCell ref="H35:I35"/>
    <mergeCell ref="H37:I37"/>
    <mergeCell ref="H38:I38"/>
    <mergeCell ref="A45:G45"/>
    <mergeCell ref="H43:I43"/>
    <mergeCell ref="H45:I45"/>
    <mergeCell ref="H44:I44"/>
    <mergeCell ref="A43:G43"/>
    <mergeCell ref="A44:G44"/>
    <mergeCell ref="A35:G35"/>
    <mergeCell ref="A37:G37"/>
    <mergeCell ref="A36:G36"/>
    <mergeCell ref="A38:G38"/>
    <mergeCell ref="A41:G41"/>
    <mergeCell ref="H39:I39"/>
    <mergeCell ref="A42:G42"/>
    <mergeCell ref="A39:G39"/>
    <mergeCell ref="H42:I42"/>
    <mergeCell ref="H41:I41"/>
    <mergeCell ref="A40:G40"/>
    <mergeCell ref="H40:I40"/>
    <mergeCell ref="L39:M39"/>
    <mergeCell ref="L40:M40"/>
    <mergeCell ref="N41:O41"/>
    <mergeCell ref="J41:K41"/>
    <mergeCell ref="J40:K40"/>
    <mergeCell ref="J39:K39"/>
    <mergeCell ref="N40:O40"/>
    <mergeCell ref="L41:M41"/>
    <mergeCell ref="N39:O39"/>
    <mergeCell ref="T39:U39"/>
    <mergeCell ref="T41:U41"/>
    <mergeCell ref="T40:U40"/>
    <mergeCell ref="P36:Q36"/>
    <mergeCell ref="P38:Q38"/>
    <mergeCell ref="P39:Q39"/>
    <mergeCell ref="R40:S40"/>
    <mergeCell ref="P40:Q40"/>
    <mergeCell ref="T37:U37"/>
    <mergeCell ref="R39:S39"/>
    <mergeCell ref="N34:O34"/>
    <mergeCell ref="A31:G31"/>
    <mergeCell ref="C20:I20"/>
    <mergeCell ref="R24:S24"/>
    <mergeCell ref="F25:U26"/>
    <mergeCell ref="R22:S22"/>
    <mergeCell ref="T34:U34"/>
    <mergeCell ref="T32:U32"/>
    <mergeCell ref="R34:S34"/>
    <mergeCell ref="A34:G34"/>
    <mergeCell ref="P46:Q46"/>
    <mergeCell ref="A29:G30"/>
    <mergeCell ref="P37:Q37"/>
    <mergeCell ref="N36:O36"/>
    <mergeCell ref="P32:Q32"/>
    <mergeCell ref="P34:Q34"/>
    <mergeCell ref="N35:O35"/>
    <mergeCell ref="N31:O31"/>
    <mergeCell ref="H29:I30"/>
    <mergeCell ref="P35:Q35"/>
    <mergeCell ref="AT63:AU63"/>
    <mergeCell ref="AT64:AU64"/>
    <mergeCell ref="A47:U49"/>
    <mergeCell ref="L43:M43"/>
    <mergeCell ref="N43:O43"/>
    <mergeCell ref="A46:G46"/>
    <mergeCell ref="H46:I46"/>
    <mergeCell ref="T43:U43"/>
    <mergeCell ref="L44:M44"/>
    <mergeCell ref="L45:M45"/>
    <mergeCell ref="BU35:BV35"/>
    <mergeCell ref="T31:U31"/>
    <mergeCell ref="R38:S38"/>
    <mergeCell ref="R32:S32"/>
    <mergeCell ref="T36:U36"/>
    <mergeCell ref="T38:U38"/>
    <mergeCell ref="R31:S31"/>
    <mergeCell ref="BU34:BV34"/>
    <mergeCell ref="T35:U35"/>
    <mergeCell ref="BU32:BV32"/>
    <mergeCell ref="CF29:CF30"/>
    <mergeCell ref="CB29:CE29"/>
    <mergeCell ref="BU33:BV33"/>
    <mergeCell ref="T33:U33"/>
    <mergeCell ref="BM28:BM30"/>
    <mergeCell ref="AG27:AH28"/>
    <mergeCell ref="AI27:AI28"/>
    <mergeCell ref="CB28:CE28"/>
    <mergeCell ref="BV28:BZ28"/>
    <mergeCell ref="BU31:BV31"/>
    <mergeCell ref="AC24:AD24"/>
    <mergeCell ref="N30:O30"/>
    <mergeCell ref="P29:Q30"/>
    <mergeCell ref="J29:K30"/>
    <mergeCell ref="L30:M30"/>
    <mergeCell ref="L29:O29"/>
    <mergeCell ref="A27:U28"/>
    <mergeCell ref="R29:S30"/>
    <mergeCell ref="T29:U30"/>
    <mergeCell ref="BU41:BV41"/>
    <mergeCell ref="BU42:BV42"/>
    <mergeCell ref="CP29:CP30"/>
    <mergeCell ref="BW29:BW30"/>
    <mergeCell ref="BU29:BV30"/>
    <mergeCell ref="BY29:BY30"/>
    <mergeCell ref="CO29:CO30"/>
    <mergeCell ref="BZ29:BZ30"/>
    <mergeCell ref="CG28:CJ29"/>
    <mergeCell ref="CK28:CN29"/>
    <mergeCell ref="BU47:BV47"/>
    <mergeCell ref="BU43:BV43"/>
    <mergeCell ref="BU36:BV36"/>
    <mergeCell ref="BU37:BV37"/>
    <mergeCell ref="BU38:BV38"/>
    <mergeCell ref="BU39:BV39"/>
    <mergeCell ref="BU44:BV44"/>
    <mergeCell ref="BU45:BV45"/>
    <mergeCell ref="BU46:BV46"/>
    <mergeCell ref="BU40:BV40"/>
    <mergeCell ref="BT22:BV22"/>
    <mergeCell ref="BV25:BZ25"/>
    <mergeCell ref="BX29:BX30"/>
    <mergeCell ref="BT29:BT30"/>
    <mergeCell ref="BV26:BZ26"/>
    <mergeCell ref="BV27:BZ27"/>
  </mergeCells>
  <conditionalFormatting sqref="M8">
    <cfRule type="expression" priority="1" dxfId="0" stopIfTrue="1">
      <formula>AND(S7,R8&gt;J8)</formula>
    </cfRule>
  </conditionalFormatting>
  <conditionalFormatting sqref="AB18:AC18">
    <cfRule type="expression" priority="2" dxfId="13" stopIfTrue="1">
      <formula>E7=TRUE</formula>
    </cfRule>
  </conditionalFormatting>
  <conditionalFormatting sqref="C17:I17">
    <cfRule type="expression" priority="3" dxfId="0" stopIfTrue="1">
      <formula>AND(J18&gt;0,J17=0)</formula>
    </cfRule>
  </conditionalFormatting>
  <conditionalFormatting sqref="AA19">
    <cfRule type="expression" priority="4" dxfId="1" stopIfTrue="1">
      <formula>AND(AA17="",AA19&gt;0)</formula>
    </cfRule>
    <cfRule type="expression" priority="5" dxfId="0" stopIfTrue="1">
      <formula>AND(AA19&gt;0,AA22&gt;0)</formula>
    </cfRule>
  </conditionalFormatting>
  <conditionalFormatting sqref="AA22">
    <cfRule type="expression" priority="6" dxfId="0" stopIfTrue="1">
      <formula>AND(AA19&gt;0,AA22&gt;0)</formula>
    </cfRule>
  </conditionalFormatting>
  <conditionalFormatting sqref="P29">
    <cfRule type="expression" priority="7" dxfId="1" stopIfTrue="1">
      <formula>AR47&gt;0</formula>
    </cfRule>
  </conditionalFormatting>
  <conditionalFormatting sqref="R18:S18">
    <cfRule type="expression" priority="8" dxfId="0" stopIfTrue="1">
      <formula>R18&lt;R17</formula>
    </cfRule>
    <cfRule type="cellIs" priority="9" dxfId="14" operator="greaterThan" stopIfTrue="1">
      <formula>R17</formula>
    </cfRule>
  </conditionalFormatting>
  <conditionalFormatting sqref="M10:Q10">
    <cfRule type="expression" priority="10" dxfId="0" stopIfTrue="1">
      <formula>R11&gt;0</formula>
    </cfRule>
  </conditionalFormatting>
  <conditionalFormatting sqref="A40:F46 A32:A39">
    <cfRule type="expression" priority="11" dxfId="1" stopIfTrue="1">
      <formula>AND($S$7=FALSE,A32&gt;0)</formula>
    </cfRule>
    <cfRule type="expression" priority="12" dxfId="1" stopIfTrue="1">
      <formula>OR(P32="a",P32="b",P32="c",P32="d",P32="e",P32="f",P32="g",P32="H",P32="I",P32="j",P32="k",P32="l",P32="m",P32="n",P32="o",P32="p",P32="q",P32="r",P32="s",P32="t",P32="u",P32="v",P32="w",P32="y",P32="z")</formula>
    </cfRule>
  </conditionalFormatting>
  <conditionalFormatting sqref="R31:R46 S31:S33">
    <cfRule type="expression" priority="13" dxfId="1" stopIfTrue="1">
      <formula>OR(AND($J$13=0,R31&gt;0),AND(R31&gt;0,H31=0,P31=0))</formula>
    </cfRule>
  </conditionalFormatting>
  <conditionalFormatting sqref="R21">
    <cfRule type="expression" priority="14" dxfId="0" stopIfTrue="1">
      <formula>OR(AND(R21&lt;R20,NOT(R20="")),AND(R21&gt;R22,NOT(R21="")))</formula>
    </cfRule>
    <cfRule type="cellIs" priority="15" dxfId="15" operator="greaterThan" stopIfTrue="1">
      <formula>R20</formula>
    </cfRule>
  </conditionalFormatting>
  <conditionalFormatting sqref="BT16">
    <cfRule type="expression" priority="16" dxfId="1" stopIfTrue="1">
      <formula>AND(BT14="",BT16&gt;0)</formula>
    </cfRule>
    <cfRule type="expression" priority="17" dxfId="0" stopIfTrue="1">
      <formula>OR(AND(BT16&gt;0,BT19&gt;0),BT16&gt;0)</formula>
    </cfRule>
  </conditionalFormatting>
  <conditionalFormatting sqref="BA35:BD45">
    <cfRule type="expression" priority="18" dxfId="0" stopIfTrue="1">
      <formula>AND(BA35&gt;0,BA35=MAXA($BA35:$BD35))</formula>
    </cfRule>
  </conditionalFormatting>
  <conditionalFormatting sqref="BF31:BF45">
    <cfRule type="expression" priority="19" dxfId="16" stopIfTrue="1">
      <formula>J31=0</formula>
    </cfRule>
  </conditionalFormatting>
  <conditionalFormatting sqref="R8:S8">
    <cfRule type="expression" priority="20" dxfId="17" stopIfTrue="1">
      <formula>S7=FALSE</formula>
    </cfRule>
  </conditionalFormatting>
  <conditionalFormatting sqref="R24:S24">
    <cfRule type="expression" priority="21" dxfId="0" stopIfTrue="1">
      <formula>R24&lt;R23</formula>
    </cfRule>
    <cfRule type="cellIs" priority="22" dxfId="18" operator="greaterThan" stopIfTrue="1">
      <formula>R23</formula>
    </cfRule>
  </conditionalFormatting>
  <conditionalFormatting sqref="J15:L15">
    <cfRule type="expression" priority="23" dxfId="17" stopIfTrue="1">
      <formula>ISERROR(AI16)</formula>
    </cfRule>
  </conditionalFormatting>
  <conditionalFormatting sqref="J14:L14">
    <cfRule type="expression" priority="24" dxfId="17" stopIfTrue="1">
      <formula>ISERROR(AK12)</formula>
    </cfRule>
  </conditionalFormatting>
  <conditionalFormatting sqref="R11:S11">
    <cfRule type="expression" priority="25" dxfId="1" stopIfTrue="1">
      <formula>OR(AND(J22&gt;0,R11&gt;J22),AND(R11&gt;0,J9=0))</formula>
    </cfRule>
    <cfRule type="expression" priority="26" dxfId="0" stopIfTrue="1">
      <formula>(R11&gt;J11)</formula>
    </cfRule>
    <cfRule type="expression" priority="27" dxfId="13" stopIfTrue="1">
      <formula>C7=TRUE</formula>
    </cfRule>
  </conditionalFormatting>
  <conditionalFormatting sqref="P40:Q46 P31:P39 Q37:Q39">
    <cfRule type="expression" priority="28" dxfId="1" stopIfTrue="1">
      <formula>OR(AND(P31&gt;0,NOT(P31="X"),$S$7=FALSE),AND($J$24=0,P31&gt;0,NOT(P31="x")),AND(J31="Volume + Strength",P31=0))</formula>
    </cfRule>
    <cfRule type="expression" priority="29" dxfId="0" stopIfTrue="1">
      <formula>OR(AND(A31&gt;0,P31=0,$S$7),AND($S$7,H31&gt;0,P31=0),AND(J31&gt;0,P31=0))</formula>
    </cfRule>
    <cfRule type="expression" priority="30" dxfId="13" stopIfTrue="1">
      <formula>$C$7=TRUE</formula>
    </cfRule>
  </conditionalFormatting>
  <conditionalFormatting sqref="BT10">
    <cfRule type="expression" priority="31" dxfId="1" stopIfTrue="1">
      <formula>AND(BT10=0,BT12&gt;0)</formula>
    </cfRule>
  </conditionalFormatting>
  <conditionalFormatting sqref="J31:K46">
    <cfRule type="expression" priority="32" dxfId="1" stopIfTrue="1">
      <formula>OR(AND(A31&gt;0,$J$9&gt;0,J31=0,NOT(P31="x")),AND($J$9&gt;0,H31&gt;0,J31=0,NOT(P31="x")))</formula>
    </cfRule>
    <cfRule type="expression" priority="33" dxfId="1" stopIfTrue="1">
      <formula>OR(AND(J31="ERU Volume",AU31&gt;0),AND($C$6=FALSE,NOT(OR(J31="ERU Volume",J31=""))))</formula>
    </cfRule>
    <cfRule type="expression" priority="34" dxfId="0" stopIfTrue="1">
      <formula>AND(P31&gt;0,NOT(P31="x"),J31=0)</formula>
    </cfRule>
  </conditionalFormatting>
  <conditionalFormatting sqref="CO31:CO46">
    <cfRule type="expression" priority="35" dxfId="0" stopIfTrue="1">
      <formula>H31&gt;1</formula>
    </cfRule>
  </conditionalFormatting>
  <conditionalFormatting sqref="H40:I46 H31:H39 I37:I39">
    <cfRule type="expression" priority="36" dxfId="1" stopIfTrue="1">
      <formula>OR(AND(H31=0,P31&gt;0,NOT(P31="x")),AND($S$7=FALSE,OR(H31&gt;0,P31&gt;0)))</formula>
    </cfRule>
    <cfRule type="expression" priority="37" dxfId="1" stopIfTrue="1">
      <formula>OR(AND(H31=0,R31&gt;0),AND(A31&gt;0,H31=0))</formula>
    </cfRule>
    <cfRule type="expression" priority="38" dxfId="0" stopIfTrue="1">
      <formula>OR(H31&gt;N31+0.04,H31&lt;N31-0.04)</formula>
    </cfRule>
  </conditionalFormatting>
  <conditionalFormatting sqref="BT19">
    <cfRule type="expression" priority="39" dxfId="0" stopIfTrue="1">
      <formula>AND(BT10&gt;1,BT12&gt;0,ISBLANK(BT19))</formula>
    </cfRule>
    <cfRule type="expression" priority="40" dxfId="0" stopIfTrue="1">
      <formula>OR(AND(BT16&gt;0,BT19&gt;0),BT19&gt;0)</formula>
    </cfRule>
  </conditionalFormatting>
  <conditionalFormatting sqref="T31:U46">
    <cfRule type="expression" priority="41" dxfId="0" stopIfTrue="1">
      <formula>J31="Volume + Strength"</formula>
    </cfRule>
  </conditionalFormatting>
  <conditionalFormatting sqref="BW31:BW46">
    <cfRule type="expression" priority="42" dxfId="0" stopIfTrue="1">
      <formula>J31="Volume + Strength"</formula>
    </cfRule>
  </conditionalFormatting>
  <conditionalFormatting sqref="J22:L22">
    <cfRule type="expression" priority="43" dxfId="1" stopIfTrue="1">
      <formula>OR(AND(J21&gt;0,J22=0),$F$25="This entry invalid without tier data above!")</formula>
    </cfRule>
    <cfRule type="expression" priority="44" dxfId="0" stopIfTrue="1">
      <formula>OR(J22&gt;15000,AND(J22&gt;0,R19=""))</formula>
    </cfRule>
    <cfRule type="expression" priority="45" dxfId="13" stopIfTrue="1">
      <formula>C7=TRUE</formula>
    </cfRule>
  </conditionalFormatting>
  <conditionalFormatting sqref="CF31:CF46">
    <cfRule type="expression" priority="46" dxfId="19" stopIfTrue="1">
      <formula>AND($CO$20&gt;0,NOT(CK31=""))</formula>
    </cfRule>
    <cfRule type="expression" priority="47" dxfId="18" stopIfTrue="1">
      <formula>$CO$20&gt;0</formula>
    </cfRule>
  </conditionalFormatting>
  <conditionalFormatting sqref="CB24:CE25">
    <cfRule type="expression" priority="48" dxfId="20" stopIfTrue="1">
      <formula>AND($CO$20&gt;0,CB24=0,CB$23&gt;0)</formula>
    </cfRule>
    <cfRule type="expression" priority="49" dxfId="18" stopIfTrue="1">
      <formula>$CO$20&gt;0</formula>
    </cfRule>
    <cfRule type="expression" priority="50" dxfId="1" stopIfTrue="1">
      <formula>AND($CO$20=0,CB24&gt;0)</formula>
    </cfRule>
  </conditionalFormatting>
  <conditionalFormatting sqref="CB31:CB46">
    <cfRule type="expression" priority="51" dxfId="1" stopIfTrue="1">
      <formula>AND($CO$20=0,CB31&gt;0)</formula>
    </cfRule>
    <cfRule type="expression" priority="52" dxfId="20" stopIfTrue="1">
      <formula>AND($CO$20&gt;0,NOT($CB$27=""),J31="Volume + Strength",CB31=0)</formula>
    </cfRule>
  </conditionalFormatting>
  <conditionalFormatting sqref="CB27:CE27">
    <cfRule type="expression" priority="53" dxfId="20" stopIfTrue="1">
      <formula>AND($CO$20&gt;0,CB27=0,CB$23&gt;0)</formula>
    </cfRule>
    <cfRule type="expression" priority="54" dxfId="8" stopIfTrue="1">
      <formula>$CO$20&gt;0</formula>
    </cfRule>
  </conditionalFormatting>
  <conditionalFormatting sqref="CB26:CE26">
    <cfRule type="expression" priority="55" dxfId="20" stopIfTrue="1">
      <formula>OR(AND($CO$20&gt;0,CB26=0,CB$23&gt;0),SUM($CB$26:$CE$26)&gt;100%)</formula>
    </cfRule>
    <cfRule type="expression" priority="56" dxfId="18" stopIfTrue="1">
      <formula>$CO$20&gt;0</formula>
    </cfRule>
    <cfRule type="expression" priority="57" dxfId="1" stopIfTrue="1">
      <formula>AND($CO$20=0,CB26&gt;0)</formula>
    </cfRule>
  </conditionalFormatting>
  <conditionalFormatting sqref="CB28:CE28">
    <cfRule type="expression" priority="58" dxfId="20" stopIfTrue="1">
      <formula>OR(AND(SUM(CB24:CE24)&gt;0,CB28=0),AND($CO$20=0,CB28&gt;0))</formula>
    </cfRule>
    <cfRule type="expression" priority="59" dxfId="19" stopIfTrue="1">
      <formula>CB28&gt;0</formula>
    </cfRule>
    <cfRule type="expression" priority="60" dxfId="18" stopIfTrue="1">
      <formula>CO20&gt;0</formula>
    </cfRule>
  </conditionalFormatting>
  <conditionalFormatting sqref="CF28">
    <cfRule type="expression" priority="61" dxfId="21" stopIfTrue="1">
      <formula>CO20&gt;0</formula>
    </cfRule>
  </conditionalFormatting>
  <conditionalFormatting sqref="BW9:BX12">
    <cfRule type="expression" priority="62" dxfId="22" stopIfTrue="1">
      <formula>AND(BT10&gt;0,BT19=0)</formula>
    </cfRule>
    <cfRule type="expression" priority="63" dxfId="0" stopIfTrue="1">
      <formula>BT19&gt;0</formula>
    </cfRule>
  </conditionalFormatting>
  <conditionalFormatting sqref="BT12:BU12">
    <cfRule type="expression" priority="64" dxfId="1" stopIfTrue="1">
      <formula>AND(BT10&gt;0,BT12=0)</formula>
    </cfRule>
    <cfRule type="expression" priority="65" dxfId="13" stopIfTrue="1">
      <formula>C7=TRUE</formula>
    </cfRule>
  </conditionalFormatting>
  <conditionalFormatting sqref="L31:L46">
    <cfRule type="expression" priority="66" dxfId="0" stopIfTrue="1">
      <formula>(OR(AND(L31&gt;0,L31&lt;50%),AND(N31&gt;0,L31=0,NOT(N31=""))))</formula>
    </cfRule>
  </conditionalFormatting>
  <conditionalFormatting sqref="M22:Q22">
    <cfRule type="expression" priority="67" dxfId="1" stopIfTrue="1">
      <formula>OR(R22&lt;0,AND(J22&gt;0,R22&lt;=0,R11=0),AND((AG9*J22*J10)&lt;J23,J22&gt;0,R11=0,))</formula>
    </cfRule>
    <cfRule type="expression" priority="68" dxfId="0" stopIfTrue="1">
      <formula>AND(J23&gt;R22,R11&gt;0)</formula>
    </cfRule>
  </conditionalFormatting>
  <conditionalFormatting sqref="CC31:CC46">
    <cfRule type="expression" priority="69" dxfId="1" stopIfTrue="1">
      <formula>AND($CO$20=0,CC31&gt;0)</formula>
    </cfRule>
    <cfRule type="expression" priority="70" dxfId="20" stopIfTrue="1">
      <formula>AND($CO$20&gt;0,NOT($CC$27=""),$J31="Volume + Strength",CC31=0)</formula>
    </cfRule>
  </conditionalFormatting>
  <conditionalFormatting sqref="CD31:CD46">
    <cfRule type="expression" priority="71" dxfId="1" stopIfTrue="1">
      <formula>AND($CO$20=0,CD31&gt;0)</formula>
    </cfRule>
    <cfRule type="expression" priority="72" dxfId="20" stopIfTrue="1">
      <formula>AND($CO$20&gt;0,NOT($CD$27=""),$J31="Volume + Strength",CD31=0)</formula>
    </cfRule>
  </conditionalFormatting>
  <conditionalFormatting sqref="CE31:CE46">
    <cfRule type="expression" priority="73" dxfId="1" stopIfTrue="1">
      <formula>AND($CO$20=0,CE31&gt;0)</formula>
    </cfRule>
    <cfRule type="expression" priority="74" dxfId="20" stopIfTrue="1">
      <formula>AND($CO$20&gt;0,NOT($CE$27=""),$J31="Volume + Strength",CE31=0)</formula>
    </cfRule>
  </conditionalFormatting>
  <conditionalFormatting sqref="A27:U28">
    <cfRule type="expression" priority="75" dxfId="1" stopIfTrue="1">
      <formula>AND(S7=FALSE,SUM(P31,R46&gt;1))</formula>
    </cfRule>
  </conditionalFormatting>
  <conditionalFormatting sqref="AU35:AU45">
    <cfRule type="expression" priority="76" dxfId="20" stopIfTrue="1">
      <formula>OR(AND($BJ35&gt;0,NOT(P35="x"),AU35=0),AND(NOT($J35="volume + strength"),AU35&gt;0))</formula>
    </cfRule>
    <cfRule type="expression" priority="77" dxfId="10" stopIfTrue="1">
      <formula>AND($C$6,$J35="volume + strength",$AU35&lt;&gt;$AU$30)</formula>
    </cfRule>
    <cfRule type="expression" priority="78" dxfId="23" stopIfTrue="1">
      <formula>AND(AU35=$AU$30,$AU$30&gt;0)</formula>
    </cfRule>
  </conditionalFormatting>
  <conditionalFormatting sqref="AV35:AV45">
    <cfRule type="expression" priority="79" dxfId="20" stopIfTrue="1">
      <formula>OR(AND($BJ35&gt;0,NOT(P35="x"),AV35=0),AND(NOT($J35="volume + strength"),AV35&gt;0))</formula>
    </cfRule>
    <cfRule type="expression" priority="80" dxfId="10" stopIfTrue="1">
      <formula>AND($C$6,$J35="volume + strength",$AU35&lt;&gt;$AU$30)</formula>
    </cfRule>
    <cfRule type="expression" priority="81" dxfId="23" stopIfTrue="1">
      <formula>AND(AV35=$AU$30,$AU$30&gt;0)</formula>
    </cfRule>
  </conditionalFormatting>
  <conditionalFormatting sqref="AW35:AW45">
    <cfRule type="expression" priority="82" dxfId="20" stopIfTrue="1">
      <formula>OR(AND($BJ35&gt;0,NOT(P35="x"),AW35=0),AND(NOT($J35="volume + strength"),AW35&gt;0))</formula>
    </cfRule>
    <cfRule type="expression" priority="83" dxfId="10" stopIfTrue="1">
      <formula>AND($C$6,$J35="volume + strength",$AU35&lt;&gt;$AU$30)</formula>
    </cfRule>
    <cfRule type="expression" priority="84" dxfId="23" stopIfTrue="1">
      <formula>AND(AW35=$AU$30,$AU$30&gt;0)</formula>
    </cfRule>
  </conditionalFormatting>
  <conditionalFormatting sqref="AX35:AX45">
    <cfRule type="expression" priority="85" dxfId="20" stopIfTrue="1">
      <formula>OR(AND($BJ35&gt;0,NOT(P35="x"),AX35=0),AND(NOT($J35="volume + strength"),AX35&gt;0))</formula>
    </cfRule>
    <cfRule type="expression" priority="86" dxfId="10" stopIfTrue="1">
      <formula>AND($C$6,$J35="volume + strength",$AU35&lt;&gt;$AU$30)</formula>
    </cfRule>
    <cfRule type="expression" priority="87" dxfId="23" stopIfTrue="1">
      <formula>AND(AX35=$AU$30,$AU$30&gt;0)</formula>
    </cfRule>
  </conditionalFormatting>
  <conditionalFormatting sqref="AT27:AT28">
    <cfRule type="expression" priority="88" dxfId="8" stopIfTrue="1">
      <formula>AND(C7,BJ48&gt;0)</formula>
    </cfRule>
  </conditionalFormatting>
  <conditionalFormatting sqref="C23:I23">
    <cfRule type="expression" priority="89" dxfId="1" stopIfTrue="1">
      <formula>OR(AND(NOT(C6),J23&gt;0,J22=0,R11&gt;0,J23&gt;R9),AND(NOT(C6),J22&gt;0,J23&gt;0,J23&gt;(J22*AG9*J10)),AND(NOT(C6),J22&gt;0,J23&gt;0,R11&gt;0,J23&gt;(AG9*J10*J22)))</formula>
    </cfRule>
    <cfRule type="expression" priority="90" dxfId="1" stopIfTrue="1">
      <formula>OR(,AND(J23&gt;0,J22=0,R11&gt;0,J23&lt;(AJ10-(R11*R8*J10))),AND(J22=0,R11&gt;0,J23&gt;R9))</formula>
    </cfRule>
    <cfRule type="expression" priority="91" dxfId="0" stopIfTrue="1">
      <formula>OR(J22&gt;0,AND(J22&gt;0,AJ10&lt;(J22*AG9*J10)),AND(J23&gt;0))</formula>
    </cfRule>
  </conditionalFormatting>
  <conditionalFormatting sqref="D6:F6">
    <cfRule type="expression" priority="92" dxfId="1" stopIfTrue="1">
      <formula>AND(C6=FALSE,CO20&gt;0)</formula>
    </cfRule>
    <cfRule type="expression" priority="93" dxfId="0" stopIfTrue="1">
      <formula>C6</formula>
    </cfRule>
  </conditionalFormatting>
  <conditionalFormatting sqref="BY7">
    <cfRule type="expression" priority="94" dxfId="1" stopIfTrue="1">
      <formula>OR(AND(S11&gt;0,BY7=0),AND(S11=0,BY7&gt;0))</formula>
    </cfRule>
    <cfRule type="expression" priority="95" dxfId="0" stopIfTrue="1">
      <formula>AND(S11&gt;0,K18&gt;0)</formula>
    </cfRule>
  </conditionalFormatting>
  <conditionalFormatting sqref="BX6:BY6">
    <cfRule type="expression" priority="96" dxfId="20" stopIfTrue="1">
      <formula>AND(R11&gt;0,J18&gt;0,BX7=0)</formula>
    </cfRule>
    <cfRule type="expression" priority="97" dxfId="10" stopIfTrue="1">
      <formula>AND(R11&gt;0,J18&gt;0,BX7&gt;0)</formula>
    </cfRule>
  </conditionalFormatting>
  <conditionalFormatting sqref="J8:L8">
    <cfRule type="expression" priority="98" dxfId="1" stopIfTrue="1">
      <formula>AND(R13&gt;0,J8=0)</formula>
    </cfRule>
  </conditionalFormatting>
  <conditionalFormatting sqref="J9:L9">
    <cfRule type="expression" priority="99" dxfId="1" stopIfTrue="1">
      <formula>AND(J8&gt;0,J9=0,J10=0)</formula>
    </cfRule>
    <cfRule type="expression" priority="100" dxfId="13" stopIfTrue="1">
      <formula>C7=TRUE</formula>
    </cfRule>
  </conditionalFormatting>
  <conditionalFormatting sqref="C9:I9">
    <cfRule type="expression" priority="101" dxfId="0" stopIfTrue="1">
      <formula>AND(J8&gt;0,J9=0,J10&gt;0,J13&gt;0)</formula>
    </cfRule>
  </conditionalFormatting>
  <conditionalFormatting sqref="J10:L10">
    <cfRule type="expression" priority="102" dxfId="1" stopIfTrue="1">
      <formula>AND(J9&gt;0,J10=0)</formula>
    </cfRule>
  </conditionalFormatting>
  <conditionalFormatting sqref="C10:I10">
    <cfRule type="expression" priority="103" dxfId="0" stopIfTrue="1">
      <formula>AND(J8&gt;0,J10&gt;0,J10&lt;12)</formula>
    </cfRule>
  </conditionalFormatting>
  <conditionalFormatting sqref="C13:I13">
    <cfRule type="expression" priority="104" dxfId="0" stopIfTrue="1">
      <formula>AND(J8&gt;0,J9=0,J13&gt;0)</formula>
    </cfRule>
  </conditionalFormatting>
  <conditionalFormatting sqref="J13:L13">
    <cfRule type="expression" priority="105" dxfId="1" stopIfTrue="1">
      <formula>OR(AND(J11&gt;0,NOT(J11=""),J13=0),AND(J8&gt;0,J9=0,J10&gt;0,J13=0))</formula>
    </cfRule>
  </conditionalFormatting>
  <conditionalFormatting sqref="C24:I24">
    <cfRule type="expression" priority="106" dxfId="0" stopIfTrue="1">
      <formula>AND(J8&gt;0,j0&gt;0,J10&gt;0,J13&gt;0,J24=0)</formula>
    </cfRule>
  </conditionalFormatting>
  <conditionalFormatting sqref="J24:L24">
    <cfRule type="expression" priority="107" dxfId="1" stopIfTrue="1">
      <formula>OR(AND(J22&gt;0,J24=0,J22=0),AND(J11&gt;0,NOT(J11=""),J24=0),AND(C6,J9=0,J24&gt;0),AND(J22&gt;0,J24=0))</formula>
    </cfRule>
    <cfRule type="expression" priority="108" dxfId="13" stopIfTrue="1">
      <formula>C7</formula>
    </cfRule>
  </conditionalFormatting>
  <conditionalFormatting sqref="C22:I22">
    <cfRule type="expression" priority="109" dxfId="1" stopIfTrue="1">
      <formula>(AND(J21&gt;0,J24=0,J22=0))</formula>
    </cfRule>
    <cfRule type="expression" priority="110" dxfId="1" stopIfTrue="1">
      <formula>OR(AND(J23&gt;0,R11=0,R22&lt;0),AND(J22=0,J19&gt;0),AND(NOT(C6),J22&gt;0,(J23&gt;(J22*AG9*J10))))</formula>
    </cfRule>
    <cfRule type="expression" priority="111" dxfId="0" stopIfTrue="1">
      <formula>OR(AND(J22&gt;0,J21=0),AND(NOT(J21&gt;0),J23&gt;0))</formula>
    </cfRule>
  </conditionalFormatting>
  <conditionalFormatting sqref="C21:I21">
    <cfRule type="expression" priority="112" dxfId="0" stopIfTrue="1">
      <formula>OR(AND(J21&gt;0,J21&lt;J24))</formula>
    </cfRule>
  </conditionalFormatting>
  <conditionalFormatting sqref="J21:L21">
    <cfRule type="expression" priority="113" dxfId="1" stopIfTrue="1">
      <formula>OR(AND(J22&gt;0,J21=0,NOT(R19="")),AND(J19&gt;0,J21=0),AND(J21&gt;0,J21=J24),AND(J22&gt;0,J21=0))</formula>
    </cfRule>
    <cfRule type="expression" priority="114" dxfId="13" stopIfTrue="1">
      <formula>C7</formula>
    </cfRule>
  </conditionalFormatting>
  <conditionalFormatting sqref="C19:I19">
    <cfRule type="expression" priority="115" dxfId="0" stopIfTrue="1">
      <formula>OR(AND(J19=0,R11=0,J20&gt;0),AND(J19&gt;0,J18=0))</formula>
    </cfRule>
    <cfRule type="expression" priority="116" dxfId="0" stopIfTrue="1">
      <formula>OR(AND((AG9*J10*J19)&gt;AJ10,J19&gt;0,J20=0),J19&gt;20000)</formula>
    </cfRule>
  </conditionalFormatting>
  <conditionalFormatting sqref="J19:L19">
    <cfRule type="expression" priority="117" dxfId="1" stopIfTrue="1">
      <formula>OR(AND(J19&gt;0,J19&lt;J22),AND(NOT(C6=TRUE),J19&gt;0,J20&gt;0,J20&gt;(AG9*J10*(J19-J22))))</formula>
    </cfRule>
    <cfRule type="expression" priority="118" dxfId="1" stopIfTrue="1">
      <formula>OR(AND(J19&gt;0,J21=0),AND(J18&gt;0,J19=0),AND(NOT(J22&gt;J11),J19=0,NOT(R11&gt;0),J20&gt;0))</formula>
    </cfRule>
    <cfRule type="expression" priority="119" dxfId="13" stopIfTrue="1">
      <formula>C7</formula>
    </cfRule>
  </conditionalFormatting>
  <conditionalFormatting sqref="C18:I18">
    <cfRule type="expression" priority="120" dxfId="0" stopIfTrue="1">
      <formula>OR(AND(J18&gt;0,J18&lt;J21),AND(J17=0,J18&gt;0))</formula>
    </cfRule>
  </conditionalFormatting>
  <conditionalFormatting sqref="J18:L18">
    <cfRule type="expression" priority="121" dxfId="1" stopIfTrue="1">
      <formula>OR(AND(J19&gt;0,J18=0),AND(J18&gt;0,J18=J21))</formula>
    </cfRule>
    <cfRule type="expression" priority="122" dxfId="13" stopIfTrue="1">
      <formula>C7=TRUE</formula>
    </cfRule>
  </conditionalFormatting>
  <conditionalFormatting sqref="R19:S19">
    <cfRule type="expression" priority="123" dxfId="1" stopIfTrue="1">
      <formula>AND(NOT(C6),J19&gt;0,J20&gt;(AG9*J10*(J19-J22)))</formula>
    </cfRule>
  </conditionalFormatting>
  <conditionalFormatting sqref="R14:S14">
    <cfRule type="expression" priority="124" dxfId="1" stopIfTrue="1">
      <formula>OR(AND(J9=0,J13&gt;0,R13&gt;R14),AND(R13&gt;R14,J9&gt;0,J24&gt;0))</formula>
    </cfRule>
  </conditionalFormatting>
  <conditionalFormatting sqref="M11:Q11">
    <cfRule type="expression" priority="125" dxfId="1" stopIfTrue="1">
      <formula>OR(AND(R10&lt;=0,R11&gt;0),AND(R11&gt;0,J22=0,J23&gt;0,J23&lt;(R9-(R11*R8*J10))))</formula>
    </cfRule>
    <cfRule type="expression" priority="126" dxfId="0" stopIfTrue="1">
      <formula>R11&gt;0</formula>
    </cfRule>
  </conditionalFormatting>
  <conditionalFormatting sqref="J23:L23">
    <cfRule type="expression" priority="127" dxfId="1" stopIfTrue="1">
      <formula>OR(AND(E62=1,J19=0),AND(F62&gt;0,NOT(F62="You must manually enter the 3d tier water sold in cell BX7 with included water!"),E67&gt;0,AND(J23&gt;0,R11=0,J22=0),AND(J22&gt;0,J23&gt;0,J23&lt;J22)))</formula>
    </cfRule>
    <cfRule type="expression" priority="128" dxfId="1" stopIfTrue="1">
      <formula>OR(AND(R11&gt;0,J22&gt;0,J23=0),AND(J23=0,R22&lt;0),F25="You MUST enter some water as sold!",F69&gt;0)</formula>
    </cfRule>
    <cfRule type="expression" priority="129" dxfId="13" stopIfTrue="1">
      <formula>C7=TRUE</formula>
    </cfRule>
  </conditionalFormatting>
  <conditionalFormatting sqref="R10:S10">
    <cfRule type="expression" priority="130" dxfId="1" stopIfTrue="1">
      <formula>OR($F$63&gt;0,$F$25="This means no included water was used!")</formula>
    </cfRule>
    <cfRule type="expression" priority="131" dxfId="1" stopIfTrue="1">
      <formula>OR(AND(NOT(R10=""),R10&gt;R9),F69&gt;0)</formula>
    </cfRule>
  </conditionalFormatting>
  <conditionalFormatting sqref="CB30:CE30">
    <cfRule type="expression" priority="132" dxfId="8" stopIfTrue="1">
      <formula>AND($C$6,$BJ$47&gt;0)</formula>
    </cfRule>
  </conditionalFormatting>
  <conditionalFormatting sqref="R16:S16">
    <cfRule type="expression" priority="133" dxfId="0" stopIfTrue="1">
      <formula>R16="Declining"</formula>
    </cfRule>
  </conditionalFormatting>
  <conditionalFormatting sqref="BW47:BX48">
    <cfRule type="cellIs" priority="134" dxfId="24" operator="notEqual" stopIfTrue="1">
      <formula>""</formula>
    </cfRule>
  </conditionalFormatting>
  <conditionalFormatting sqref="A25:E26">
    <cfRule type="expression" priority="135" dxfId="25" stopIfTrue="1">
      <formula>A25="NOTE!"</formula>
    </cfRule>
    <cfRule type="expression" priority="136" dxfId="6" stopIfTrue="1">
      <formula>A25="ERROR!"</formula>
    </cfRule>
  </conditionalFormatting>
  <conditionalFormatting sqref="CB23:CE23 CG31:CN46">
    <cfRule type="expression" priority="137" dxfId="18" stopIfTrue="1">
      <formula>$CO$20&gt;0</formula>
    </cfRule>
  </conditionalFormatting>
  <conditionalFormatting sqref="CF29:CF30 CG28:CN30 CB29:CE29">
    <cfRule type="expression" priority="138" dxfId="8" stopIfTrue="1">
      <formula>$CO$20&gt;0</formula>
    </cfRule>
  </conditionalFormatting>
  <conditionalFormatting sqref="BV23:BZ28">
    <cfRule type="expression" priority="139" dxfId="23" stopIfTrue="1">
      <formula>$CO$20&gt;0</formula>
    </cfRule>
  </conditionalFormatting>
  <conditionalFormatting sqref="BX17:CF17">
    <cfRule type="expression" priority="140" dxfId="26" stopIfTrue="1">
      <formula>$CO$20&gt;0</formula>
    </cfRule>
  </conditionalFormatting>
  <conditionalFormatting sqref="R13:S13">
    <cfRule type="cellIs" priority="141" dxfId="1" operator="equal" stopIfTrue="1">
      <formula>0</formula>
    </cfRule>
  </conditionalFormatting>
  <conditionalFormatting sqref="C20:I20">
    <cfRule type="expression" priority="142" dxfId="0" stopIfTrue="1">
      <formula>(OR(C20="**Actual 2d Tier Use Cubic Ft",C20="**Actual 2d Tier Use Gallons",C20="Actual 2d Tier Billed Cubic Feet",C20="Actual 2d Tier Billed Gallons"))</formula>
    </cfRule>
  </conditionalFormatting>
  <conditionalFormatting sqref="J20:L20">
    <cfRule type="expression" priority="143" dxfId="1" stopIfTrue="1">
      <formula>OR(F63&gt;0,F74&gt;0,AND((J23+J20)&gt;AE9,J20&gt;0),AND((J23+J20)&gt;0,(J23+J20)&gt;R10,R10&gt;0),AND(J20&gt;0,(J23+J20)&gt;=AE9-R11))</formula>
    </cfRule>
    <cfRule type="expression" priority="144" dxfId="1" stopIfTrue="1">
      <formula>OR(AND(E67=1,J20=0),AND(R11&gt;0,J22&gt;0,J20=0),AND(R11&gt;0,J18=0,J20&gt;0,BX7=0,(J23+J20)&lt;Q77),AND(NOT(C6=TRUE),J19&gt;0,J20&gt;0,J20&gt;(J19-J22)*AJ9*J10),AND(R11&gt;0,J23&gt;0,J20&gt;0,(J23+J20)&gt;R9))</formula>
    </cfRule>
    <cfRule type="expression" priority="145" dxfId="13" stopIfTrue="1">
      <formula>C7=TRUE</formula>
    </cfRule>
  </conditionalFormatting>
  <conditionalFormatting sqref="BX7">
    <cfRule type="expression" priority="146" dxfId="20" stopIfTrue="1">
      <formula>OR(AND(F74&gt;0,BX7&gt;0),AND(R11&gt;0,J18&gt;0,BX7=0),AND(R11&gt;0,J18=0,BX7&gt;0))</formula>
    </cfRule>
    <cfRule type="expression" priority="147" dxfId="10" stopIfTrue="1">
      <formula>AND(R11&gt;0,J18&gt;0)</formula>
    </cfRule>
  </conditionalFormatting>
  <dataValidations count="2">
    <dataValidation type="custom" allowBlank="1" showInputMessage="1" showErrorMessage="1" sqref="U13">
      <formula1>"if(d6,1,2,3,4)"</formula1>
    </dataValidation>
    <dataValidation type="list" showInputMessage="1" showErrorMessage="1" sqref="J31:J46">
      <formula1>"ERU Volume,Volume + Strength"</formula1>
    </dataValidation>
  </dataValidations>
  <printOptions/>
  <pageMargins left="0.43" right="0" top="0.17" bottom="0.18" header="0.78" footer="0.5"/>
  <pageSetup horizontalDpi="600" verticalDpi="600" orientation="landscape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Toolbox</dc:title>
  <dc:subject>Budget, Reserve Calculator, Rate Calculator</dc:subject>
  <dc:creator> Skip Rand</dc:creator>
  <cp:keywords/>
  <dc:description/>
  <cp:lastModifiedBy>Skip Rand</cp:lastModifiedBy>
  <cp:lastPrinted>2007-09-28T15:53:14Z</cp:lastPrinted>
  <dcterms:created xsi:type="dcterms:W3CDTF">2003-12-28T20:32:31Z</dcterms:created>
  <dcterms:modified xsi:type="dcterms:W3CDTF">2008-05-01T16:27:06Z</dcterms:modified>
  <cp:category/>
  <cp:version/>
  <cp:contentType/>
  <cp:contentStatus/>
</cp:coreProperties>
</file>